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activeX/activeX9.xml" ContentType="application/vnd.ms-office.activeX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activeX/activeX7.xml" ContentType="application/vnd.ms-office.activeX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emf" ContentType="image/x-emf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activeX/activeX10.xml" ContentType="application/vnd.ms-office.activeX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activeX/activeX8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60" yWindow="330" windowWidth="10515" windowHeight="11640" tabRatio="911"/>
  </bookViews>
  <sheets>
    <sheet name="目录" sheetId="17" r:id="rId1"/>
    <sheet name="欧式定价" sheetId="2" r:id="rId2"/>
    <sheet name="隐含波动率" sheetId="4" r:id="rId3"/>
    <sheet name="股票期权与股票等比率组合" sheetId="6" r:id="rId4"/>
    <sheet name="差价组合(bull&amp;bear spreads)" sheetId="7" r:id="rId5"/>
    <sheet name="蝶式差价组合(butterfly spreads)" sheetId="8" r:id="rId6"/>
    <sheet name="差期组合(calendar spreads)" sheetId="9" r:id="rId7"/>
    <sheet name="跨式组合(straddle)" sheetId="10" r:id="rId8"/>
    <sheet name="条式组合(strips)" sheetId="11" r:id="rId9"/>
    <sheet name="带式组合(straps)" sheetId="12" r:id="rId10"/>
    <sheet name="宽跨式组合(strangles)" sheetId="13" r:id="rId11"/>
    <sheet name="期权套利模块" sheetId="18" r:id="rId12"/>
  </sheets>
  <definedNames>
    <definedName name="_R">#REF!</definedName>
    <definedName name="△t">#REF!</definedName>
    <definedName name="a">#REF!</definedName>
    <definedName name="aaa">#REF!</definedName>
    <definedName name="alpha">#REF!</definedName>
    <definedName name="alpha1">#REF!</definedName>
    <definedName name="beta">#REF!</definedName>
    <definedName name="beta1">#REF!</definedName>
    <definedName name="d">#REF!</definedName>
    <definedName name="gamma">#REF!</definedName>
    <definedName name="gamma1">#REF!</definedName>
    <definedName name="K">#REF!</definedName>
    <definedName name="lambda">#REF!</definedName>
    <definedName name="lambda1">#REF!</definedName>
    <definedName name="N">#REF!</definedName>
    <definedName name="omega">#REF!</definedName>
    <definedName name="omega1">#REF!</definedName>
    <definedName name="omega2">#REF!</definedName>
    <definedName name="p">#REF!</definedName>
    <definedName name="ret">#REF!</definedName>
    <definedName name="rett">#REF!</definedName>
    <definedName name="RF">#REF!</definedName>
    <definedName name="S">#REF!</definedName>
    <definedName name="T">#REF!</definedName>
    <definedName name="u">#REF!</definedName>
    <definedName name="V">#REF!</definedName>
    <definedName name="σ">#REF!</definedName>
  </definedNames>
  <calcPr calcId="125725"/>
</workbook>
</file>

<file path=xl/calcChain.xml><?xml version="1.0" encoding="utf-8"?>
<calcChain xmlns="http://schemas.openxmlformats.org/spreadsheetml/2006/main">
  <c r="F20" i="12"/>
  <c r="E20"/>
  <c r="B15" i="11"/>
  <c r="F17" i="10"/>
  <c r="E17"/>
  <c r="C20" i="9"/>
  <c r="D20"/>
  <c r="B20"/>
  <c r="B10"/>
  <c r="B19" s="1"/>
  <c r="B13"/>
  <c r="B21" s="1"/>
  <c r="F18"/>
  <c r="G18" s="1"/>
  <c r="H18" s="1"/>
  <c r="E18"/>
  <c r="D18"/>
  <c r="C18"/>
  <c r="G16" i="8"/>
  <c r="H16"/>
  <c r="I16"/>
  <c r="J16"/>
  <c r="K16"/>
  <c r="L16"/>
  <c r="E16"/>
  <c r="K23"/>
  <c r="L23" s="1"/>
  <c r="I22"/>
  <c r="J22" s="1"/>
  <c r="D16"/>
  <c r="G21" s="1"/>
  <c r="H21" s="1"/>
  <c r="F16"/>
  <c r="C6" i="4" l="1"/>
  <c r="C4" i="18"/>
  <c r="C15" i="2"/>
  <c r="E9" i="7" l="1"/>
  <c r="C13"/>
  <c r="C15" s="1"/>
  <c r="F40" i="18"/>
  <c r="E40"/>
  <c r="F31"/>
  <c r="E31"/>
  <c r="J17"/>
  <c r="K17" s="1"/>
  <c r="J15"/>
  <c r="K15" s="1"/>
  <c r="E6"/>
  <c r="H6" s="1"/>
  <c r="F3"/>
  <c r="H3"/>
  <c r="F2"/>
  <c r="H2"/>
  <c r="I13" i="13"/>
  <c r="H13"/>
  <c r="G13"/>
  <c r="F13"/>
  <c r="D13"/>
  <c r="C13"/>
  <c r="A7"/>
  <c r="A4"/>
  <c r="F3"/>
  <c r="F16" i="12"/>
  <c r="E16"/>
  <c r="C16"/>
  <c r="A10"/>
  <c r="A7"/>
  <c r="F6"/>
  <c r="B14" i="11"/>
  <c r="F13"/>
  <c r="E13"/>
  <c r="C13"/>
  <c r="A7"/>
  <c r="A4"/>
  <c r="F3"/>
  <c r="B15" i="10"/>
  <c r="B14"/>
  <c r="B16" s="1"/>
  <c r="F13"/>
  <c r="E13"/>
  <c r="C13"/>
  <c r="A7"/>
  <c r="A4"/>
  <c r="E3"/>
  <c r="H20" i="9"/>
  <c r="G20"/>
  <c r="F20"/>
  <c r="E20"/>
  <c r="J18"/>
  <c r="I18"/>
  <c r="A11"/>
  <c r="H19"/>
  <c r="A8"/>
  <c r="E6"/>
  <c r="C16" i="8"/>
  <c r="C19" s="1"/>
  <c r="E19"/>
  <c r="A10"/>
  <c r="F18"/>
  <c r="A7"/>
  <c r="E17"/>
  <c r="A4"/>
  <c r="G3"/>
  <c r="I13" i="7"/>
  <c r="H13"/>
  <c r="G13"/>
  <c r="F13"/>
  <c r="D13"/>
  <c r="E13" s="1"/>
  <c r="B15"/>
  <c r="A7"/>
  <c r="B14"/>
  <c r="A4"/>
  <c r="E3"/>
  <c r="C11" i="4"/>
  <c r="C15" i="13" l="1"/>
  <c r="B13"/>
  <c r="D15"/>
  <c r="E13"/>
  <c r="C17" i="12"/>
  <c r="D16"/>
  <c r="B16"/>
  <c r="C15" i="11"/>
  <c r="D13"/>
  <c r="C15" i="10"/>
  <c r="D13"/>
  <c r="C17" i="8"/>
  <c r="H31" i="18"/>
  <c r="H40"/>
  <c r="B16" i="7"/>
  <c r="I2" i="18"/>
  <c r="I3"/>
  <c r="C14" i="13"/>
  <c r="C16" s="1"/>
  <c r="D14"/>
  <c r="D16" s="1"/>
  <c r="C18" i="12"/>
  <c r="C19" s="1"/>
  <c r="C14" i="11"/>
  <c r="C16" s="1"/>
  <c r="B16"/>
  <c r="C14" i="10"/>
  <c r="C16" s="1"/>
  <c r="C19" i="9"/>
  <c r="D21"/>
  <c r="F21"/>
  <c r="H21"/>
  <c r="H22" s="1"/>
  <c r="C21"/>
  <c r="E21"/>
  <c r="G21"/>
  <c r="E19"/>
  <c r="G19"/>
  <c r="D19"/>
  <c r="F19"/>
  <c r="D18" i="8"/>
  <c r="B17"/>
  <c r="D17"/>
  <c r="F17"/>
  <c r="C18"/>
  <c r="E18"/>
  <c r="E20" s="1"/>
  <c r="B19"/>
  <c r="D19"/>
  <c r="F19"/>
  <c r="B18"/>
  <c r="D15" i="7"/>
  <c r="C14"/>
  <c r="E14"/>
  <c r="E15"/>
  <c r="D14"/>
  <c r="D13" i="6"/>
  <c r="C13"/>
  <c r="E17"/>
  <c r="F17" s="1"/>
  <c r="E13"/>
  <c r="F13" s="1"/>
  <c r="A7"/>
  <c r="A5"/>
  <c r="E4"/>
  <c r="C13" i="2"/>
  <c r="C14"/>
  <c r="C16"/>
  <c r="E15" i="13" l="1"/>
  <c r="E14"/>
  <c r="E16" s="1"/>
  <c r="B15"/>
  <c r="B14"/>
  <c r="B18" i="12"/>
  <c r="B17"/>
  <c r="B19" s="1"/>
  <c r="D18"/>
  <c r="D17"/>
  <c r="D14" i="11"/>
  <c r="D15"/>
  <c r="D15" i="10"/>
  <c r="D14"/>
  <c r="D22" i="9"/>
  <c r="C22"/>
  <c r="C20" i="8"/>
  <c r="D14" i="6"/>
  <c r="C15"/>
  <c r="F22" i="9"/>
  <c r="B22"/>
  <c r="G22"/>
  <c r="D16" i="7"/>
  <c r="C16"/>
  <c r="E8" s="1"/>
  <c r="E22" i="9"/>
  <c r="D20" i="8"/>
  <c r="F20"/>
  <c r="B20"/>
  <c r="E16" i="7"/>
  <c r="C14" i="6"/>
  <c r="C16" s="1"/>
  <c r="B15"/>
  <c r="D15"/>
  <c r="B14"/>
  <c r="B21" i="2"/>
  <c r="E4" i="4"/>
  <c r="E5" s="1"/>
  <c r="E6" s="1"/>
  <c r="E7" s="1"/>
  <c r="E8" s="1"/>
  <c r="E9" s="1"/>
  <c r="E10" s="1"/>
  <c r="E11" s="1"/>
  <c r="E12" s="1"/>
  <c r="E13" s="1"/>
  <c r="E14" s="1"/>
  <c r="E15" s="1"/>
  <c r="D16" i="10" l="1"/>
  <c r="D19" i="12"/>
  <c r="B16" i="13"/>
  <c r="D16" i="11"/>
  <c r="D16" i="6"/>
  <c r="B16"/>
  <c r="F3" i="4"/>
  <c r="J4" i="2"/>
  <c r="E5"/>
  <c r="E6" s="1"/>
  <c r="G6" s="1"/>
  <c r="G4"/>
  <c r="H5" l="1"/>
  <c r="I4"/>
  <c r="G5"/>
  <c r="F4"/>
  <c r="E7"/>
  <c r="C21"/>
  <c r="C22"/>
  <c r="C23"/>
  <c r="B22"/>
  <c r="B23"/>
  <c r="J5" l="1"/>
  <c r="H6"/>
  <c r="E8"/>
  <c r="G7"/>
  <c r="B25"/>
  <c r="C25"/>
  <c r="J6" l="1"/>
  <c r="H7"/>
  <c r="E9"/>
  <c r="G8"/>
  <c r="J7" l="1"/>
  <c r="H8"/>
  <c r="E10"/>
  <c r="G9"/>
  <c r="J8" l="1"/>
  <c r="H9"/>
  <c r="E11"/>
  <c r="G10"/>
  <c r="J9" l="1"/>
  <c r="H10"/>
  <c r="E12"/>
  <c r="G11"/>
  <c r="J10" l="1"/>
  <c r="H11"/>
  <c r="E13"/>
  <c r="G12"/>
  <c r="J11" l="1"/>
  <c r="H12"/>
  <c r="E14"/>
  <c r="G13"/>
  <c r="J12" l="1"/>
  <c r="B24" s="1"/>
  <c r="H13"/>
  <c r="E15"/>
  <c r="G14"/>
  <c r="C24" l="1"/>
  <c r="J13"/>
  <c r="H14"/>
  <c r="E16"/>
  <c r="G15"/>
  <c r="J14" l="1"/>
  <c r="H15"/>
  <c r="E17"/>
  <c r="G16"/>
  <c r="J15" l="1"/>
  <c r="H16"/>
  <c r="E18"/>
  <c r="G17"/>
  <c r="J16" l="1"/>
  <c r="H17"/>
  <c r="E19"/>
  <c r="G18"/>
  <c r="J17" l="1"/>
  <c r="H18"/>
  <c r="E20"/>
  <c r="G20" s="1"/>
  <c r="G19"/>
  <c r="J18" l="1"/>
  <c r="H19"/>
  <c r="J19" l="1"/>
  <c r="H20"/>
  <c r="J20" s="1"/>
</calcChain>
</file>

<file path=xl/comments1.xml><?xml version="1.0" encoding="utf-8"?>
<comments xmlns="http://schemas.openxmlformats.org/spreadsheetml/2006/main">
  <authors>
    <author>作者</author>
  </authors>
  <commentList>
    <comment ref="A20" authorId="0">
      <text>
        <r>
          <rPr>
            <b/>
            <sz val="9"/>
            <color indexed="81"/>
            <rFont val="宋体"/>
            <family val="3"/>
            <charset val="134"/>
          </rPr>
          <t>假设无风险利率和股价波动率不变，然后用BS公式求解。</t>
        </r>
      </text>
    </comment>
  </commentList>
</comments>
</file>

<file path=xl/sharedStrings.xml><?xml version="1.0" encoding="utf-8"?>
<sst xmlns="http://schemas.openxmlformats.org/spreadsheetml/2006/main" count="293" uniqueCount="172">
  <si>
    <t>d1:</t>
  </si>
  <si>
    <t>d2:</t>
  </si>
  <si>
    <r>
      <t>BS</t>
    </r>
    <r>
      <rPr>
        <b/>
        <sz val="10"/>
        <rFont val="宋体"/>
        <family val="3"/>
        <charset val="134"/>
      </rPr>
      <t>模型输入参数：</t>
    </r>
    <phoneticPr fontId="5" type="noConversion"/>
  </si>
  <si>
    <r>
      <t>BS</t>
    </r>
    <r>
      <rPr>
        <b/>
        <sz val="10"/>
        <rFont val="宋体"/>
        <family val="3"/>
        <charset val="134"/>
      </rPr>
      <t>模型输出结果：</t>
    </r>
    <phoneticPr fontId="5" type="noConversion"/>
  </si>
  <si>
    <t>Call</t>
    <phoneticPr fontId="5" type="noConversion"/>
  </si>
  <si>
    <t>Put</t>
    <phoneticPr fontId="5" type="noConversion"/>
  </si>
  <si>
    <r>
      <t>看涨期权价格</t>
    </r>
    <r>
      <rPr>
        <b/>
        <sz val="10"/>
        <rFont val="Arial"/>
        <family val="2"/>
      </rPr>
      <t xml:space="preserve"> (Ct):</t>
    </r>
    <phoneticPr fontId="5" type="noConversion"/>
  </si>
  <si>
    <r>
      <t>看跌期权价格</t>
    </r>
    <r>
      <rPr>
        <b/>
        <sz val="10"/>
        <rFont val="Arial"/>
        <family val="2"/>
      </rPr>
      <t xml:space="preserve"> (Pt):</t>
    </r>
    <phoneticPr fontId="5" type="noConversion"/>
  </si>
  <si>
    <r>
      <t>股票当前价格</t>
    </r>
    <r>
      <rPr>
        <b/>
        <sz val="10"/>
        <rFont val="Arial"/>
        <family val="2"/>
      </rPr>
      <t xml:space="preserve"> (S)</t>
    </r>
    <phoneticPr fontId="5" type="noConversion"/>
  </si>
  <si>
    <t>Delta</t>
    <phoneticPr fontId="5" type="noConversion"/>
  </si>
  <si>
    <t>Gamma</t>
    <phoneticPr fontId="5" type="noConversion"/>
  </si>
  <si>
    <t>Vega</t>
    <phoneticPr fontId="5" type="noConversion"/>
  </si>
  <si>
    <t>Theta</t>
    <phoneticPr fontId="5" type="noConversion"/>
  </si>
  <si>
    <t>Rho</t>
    <phoneticPr fontId="5" type="noConversion"/>
  </si>
  <si>
    <r>
      <t>执行价格</t>
    </r>
    <r>
      <rPr>
        <b/>
        <sz val="12"/>
        <rFont val="Arial"/>
        <family val="2"/>
      </rPr>
      <t xml:space="preserve"> (X)</t>
    </r>
    <phoneticPr fontId="5" type="noConversion"/>
  </si>
  <si>
    <r>
      <t>距离到期时间</t>
    </r>
    <r>
      <rPr>
        <b/>
        <sz val="12"/>
        <rFont val="Arial"/>
        <family val="2"/>
      </rPr>
      <t xml:space="preserve"> (T-t)</t>
    </r>
    <phoneticPr fontId="5" type="noConversion"/>
  </si>
  <si>
    <r>
      <t>无风险利率</t>
    </r>
    <r>
      <rPr>
        <b/>
        <sz val="12"/>
        <rFont val="Arial"/>
        <family val="2"/>
      </rPr>
      <t xml:space="preserve"> (R)</t>
    </r>
    <phoneticPr fontId="5" type="noConversion"/>
  </si>
  <si>
    <r>
      <t>年波动率</t>
    </r>
    <r>
      <rPr>
        <b/>
        <sz val="12"/>
        <rFont val="Arial"/>
        <family val="2"/>
      </rPr>
      <t xml:space="preserve"> (</t>
    </r>
    <r>
      <rPr>
        <b/>
        <sz val="10"/>
        <rFont val="Symbol"/>
        <family val="1"/>
        <charset val="2"/>
      </rPr>
      <t>s</t>
    </r>
    <r>
      <rPr>
        <b/>
        <sz val="12"/>
        <rFont val="Arial"/>
        <family val="2"/>
      </rPr>
      <t>)</t>
    </r>
    <phoneticPr fontId="5" type="noConversion"/>
  </si>
  <si>
    <r>
      <rPr>
        <b/>
        <sz val="10"/>
        <rFont val="宋体"/>
        <family val="3"/>
        <charset val="134"/>
      </rPr>
      <t>股息率（</t>
    </r>
    <r>
      <rPr>
        <b/>
        <sz val="10"/>
        <rFont val="Arial"/>
        <family val="2"/>
      </rPr>
      <t>K)</t>
    </r>
    <phoneticPr fontId="5" type="noConversion"/>
  </si>
  <si>
    <t>Greeks:</t>
    <phoneticPr fontId="5" type="noConversion"/>
  </si>
  <si>
    <t>股价</t>
    <phoneticPr fontId="5" type="noConversion"/>
  </si>
  <si>
    <t>内蕴价值</t>
    <phoneticPr fontId="5" type="noConversion"/>
  </si>
  <si>
    <t>数据表</t>
    <phoneticPr fontId="5" type="noConversion"/>
  </si>
  <si>
    <r>
      <t xml:space="preserve">Put </t>
    </r>
    <r>
      <rPr>
        <b/>
        <sz val="10"/>
        <rFont val="宋体"/>
        <family val="3"/>
        <charset val="134"/>
      </rPr>
      <t>价格</t>
    </r>
    <phoneticPr fontId="5" type="noConversion"/>
  </si>
  <si>
    <r>
      <t xml:space="preserve">Call </t>
    </r>
    <r>
      <rPr>
        <b/>
        <sz val="10"/>
        <rFont val="宋体"/>
        <family val="3"/>
        <charset val="134"/>
      </rPr>
      <t>价格</t>
    </r>
    <phoneticPr fontId="5" type="noConversion"/>
  </si>
  <si>
    <t>欧式期权定价</t>
    <phoneticPr fontId="5" type="noConversion"/>
  </si>
  <si>
    <r>
      <t>Call</t>
    </r>
    <r>
      <rPr>
        <b/>
        <sz val="10"/>
        <rFont val="宋体"/>
        <family val="3"/>
        <charset val="134"/>
      </rPr>
      <t>价格</t>
    </r>
    <phoneticPr fontId="5" type="noConversion"/>
  </si>
  <si>
    <r>
      <rPr>
        <b/>
        <sz val="10"/>
        <rFont val="宋体"/>
        <family val="3"/>
        <charset val="134"/>
      </rPr>
      <t>隐含波动率（</t>
    </r>
    <r>
      <rPr>
        <b/>
        <sz val="10"/>
        <rFont val="Arial"/>
        <family val="2"/>
      </rPr>
      <t>IV</t>
    </r>
    <r>
      <rPr>
        <b/>
        <sz val="10"/>
        <rFont val="宋体"/>
        <family val="3"/>
        <charset val="134"/>
      </rPr>
      <t>）</t>
    </r>
    <phoneticPr fontId="5" type="noConversion"/>
  </si>
  <si>
    <t>Call price</t>
    <phoneticPr fontId="5" type="noConversion"/>
  </si>
  <si>
    <t>隐含波动率</t>
    <phoneticPr fontId="5" type="noConversion"/>
  </si>
  <si>
    <t>输入</t>
    <phoneticPr fontId="5" type="noConversion"/>
  </si>
  <si>
    <t>选择期权交易策略类型：</t>
    <phoneticPr fontId="5" type="noConversion"/>
  </si>
  <si>
    <t>=</t>
    <phoneticPr fontId="5" type="noConversion"/>
  </si>
  <si>
    <t xml:space="preserve">  价格</t>
    <phoneticPr fontId="5" type="noConversion"/>
  </si>
  <si>
    <t xml:space="preserve">  协议价格</t>
    <phoneticPr fontId="5" type="noConversion"/>
  </si>
  <si>
    <t xml:space="preserve">  期权价格</t>
    <phoneticPr fontId="5" type="noConversion"/>
  </si>
  <si>
    <t>输出</t>
    <phoneticPr fontId="5" type="noConversion"/>
  </si>
  <si>
    <t>期权到期时的股价</t>
    <phoneticPr fontId="5" type="noConversion"/>
  </si>
  <si>
    <t>期权盈亏</t>
    <phoneticPr fontId="5" type="noConversion"/>
  </si>
  <si>
    <t>组合的总盈亏</t>
    <phoneticPr fontId="5" type="noConversion"/>
  </si>
  <si>
    <t>协议价格</t>
    <phoneticPr fontId="5" type="noConversion"/>
  </si>
  <si>
    <t>=</t>
    <phoneticPr fontId="5" type="noConversion"/>
  </si>
  <si>
    <t>股票盈亏</t>
    <phoneticPr fontId="5" type="noConversion"/>
  </si>
  <si>
    <t>股票空头+看涨期权多头</t>
    <phoneticPr fontId="5" type="noConversion"/>
  </si>
  <si>
    <t>股票多头+看涨期权空头</t>
    <phoneticPr fontId="5" type="noConversion"/>
  </si>
  <si>
    <t>股票空头+看跌期权空头</t>
    <phoneticPr fontId="5" type="noConversion"/>
  </si>
  <si>
    <t>股票多头+看跌期权多头</t>
    <phoneticPr fontId="5" type="noConversion"/>
  </si>
  <si>
    <t>看涨期权多头+看涨期权空头</t>
    <phoneticPr fontId="5" type="noConversion"/>
  </si>
  <si>
    <t>看跌期权多头+看跌期权空头</t>
    <phoneticPr fontId="5" type="noConversion"/>
  </si>
  <si>
    <t>看涨期权空头+看涨期权多头</t>
    <phoneticPr fontId="5" type="noConversion"/>
  </si>
  <si>
    <t>看跌期权空头+看跌期权多头</t>
    <phoneticPr fontId="5" type="noConversion"/>
  </si>
  <si>
    <t>低协议价格的期权盈亏</t>
    <phoneticPr fontId="5" type="noConversion"/>
  </si>
  <si>
    <t>高协议价格的期权盈亏</t>
    <phoneticPr fontId="5" type="noConversion"/>
  </si>
  <si>
    <t>低协议价格</t>
    <phoneticPr fontId="5" type="noConversion"/>
  </si>
  <si>
    <t>高协议价格</t>
    <phoneticPr fontId="5" type="noConversion"/>
  </si>
  <si>
    <t>股票期权与股票等比率组合</t>
    <phoneticPr fontId="14" type="noConversion"/>
  </si>
  <si>
    <r>
      <t>差价组合</t>
    </r>
    <r>
      <rPr>
        <b/>
        <sz val="10"/>
        <rFont val="Arial"/>
        <family val="2"/>
      </rPr>
      <t>(bull&amp;bear spreads)</t>
    </r>
    <phoneticPr fontId="14" type="noConversion"/>
  </si>
  <si>
    <r>
      <t>蝶式差价组合</t>
    </r>
    <r>
      <rPr>
        <b/>
        <sz val="10"/>
        <color indexed="62"/>
        <rFont val="Arial"/>
        <family val="2"/>
      </rPr>
      <t>(butterfly spreads)</t>
    </r>
  </si>
  <si>
    <t>(协议价格从高到低)</t>
    <phoneticPr fontId="5" type="noConversion"/>
  </si>
  <si>
    <t>看涨期权多头+2份看涨期权空头+看涨期权多头</t>
    <phoneticPr fontId="5" type="noConversion"/>
  </si>
  <si>
    <t xml:space="preserve">  协议价格</t>
    <phoneticPr fontId="5" type="noConversion"/>
  </si>
  <si>
    <t>看涨期权空头+2份看涨期权多头+看涨期权空头</t>
    <phoneticPr fontId="5" type="noConversion"/>
  </si>
  <si>
    <t>看跌期权多头+2份看跌期权空头+看跌期权多头</t>
    <phoneticPr fontId="5" type="noConversion"/>
  </si>
  <si>
    <t>看跌期权空头+2份看跌期权多头+看跌期权空头</t>
    <phoneticPr fontId="5" type="noConversion"/>
  </si>
  <si>
    <t>中协议价格的期权盈亏</t>
    <phoneticPr fontId="5" type="noConversion"/>
  </si>
  <si>
    <t>中协议价格</t>
    <phoneticPr fontId="5" type="noConversion"/>
  </si>
  <si>
    <r>
      <t>差期组合</t>
    </r>
    <r>
      <rPr>
        <b/>
        <sz val="10"/>
        <color indexed="62"/>
        <rFont val="Arial"/>
        <family val="2"/>
      </rPr>
      <t>(calendar spreads)</t>
    </r>
  </si>
  <si>
    <t>输入</t>
  </si>
  <si>
    <t>选择期权交易策略类型：</t>
    <phoneticPr fontId="5" type="noConversion"/>
  </si>
  <si>
    <t>（到期时间从短到长）</t>
    <phoneticPr fontId="5" type="noConversion"/>
  </si>
  <si>
    <t>看涨期权空头+看涨期权多头</t>
    <phoneticPr fontId="5" type="noConversion"/>
  </si>
  <si>
    <t>看涨期权多头+看涨期权空头</t>
    <phoneticPr fontId="5" type="noConversion"/>
  </si>
  <si>
    <t xml:space="preserve">  到期时间(年）</t>
  </si>
  <si>
    <t>看跌期权空头+看跌期权多头</t>
    <phoneticPr fontId="5" type="noConversion"/>
  </si>
  <si>
    <t xml:space="preserve">  期权价格</t>
  </si>
  <si>
    <t>看跌期权多头+看跌期权空头</t>
    <phoneticPr fontId="5" type="noConversion"/>
  </si>
  <si>
    <t xml:space="preserve">  到期时间（年）</t>
  </si>
  <si>
    <t>协议价格</t>
  </si>
  <si>
    <t>当前股价</t>
  </si>
  <si>
    <t>输出</t>
  </si>
  <si>
    <t>短期权到期时的股价</t>
  </si>
  <si>
    <t>期限短的期权盈亏</t>
  </si>
  <si>
    <t>短期权到期时长期权的价值</t>
    <phoneticPr fontId="5" type="noConversion"/>
  </si>
  <si>
    <t>期限长的期权盈亏</t>
  </si>
  <si>
    <t>组合的总盈亏</t>
  </si>
  <si>
    <r>
      <t>跨式组合</t>
    </r>
    <r>
      <rPr>
        <b/>
        <sz val="10"/>
        <color indexed="62"/>
        <rFont val="Arial"/>
        <family val="2"/>
      </rPr>
      <t>(straddle)</t>
    </r>
  </si>
  <si>
    <t>看涨期权多头+看跌期权多头</t>
    <phoneticPr fontId="5" type="noConversion"/>
  </si>
  <si>
    <t>看涨期权空头+看跌期权空头</t>
    <phoneticPr fontId="5" type="noConversion"/>
  </si>
  <si>
    <t>看涨期权的盈亏</t>
    <phoneticPr fontId="5" type="noConversion"/>
  </si>
  <si>
    <t>看跌期权的盈亏</t>
    <phoneticPr fontId="5" type="noConversion"/>
  </si>
  <si>
    <r>
      <t>条式组合</t>
    </r>
    <r>
      <rPr>
        <b/>
        <sz val="10"/>
        <color indexed="62"/>
        <rFont val="Arial"/>
        <family val="2"/>
      </rPr>
      <t>(strips)</t>
    </r>
  </si>
  <si>
    <t>看涨期权多头+2份看跌期权多头</t>
    <phoneticPr fontId="5" type="noConversion"/>
  </si>
  <si>
    <t>看涨期权空头+2份看跌期权空头</t>
    <phoneticPr fontId="5" type="noConversion"/>
  </si>
  <si>
    <t>期权到期时的股价</t>
    <phoneticPr fontId="5" type="noConversion"/>
  </si>
  <si>
    <t>组合的总盈亏</t>
    <phoneticPr fontId="5" type="noConversion"/>
  </si>
  <si>
    <t>协议价格</t>
    <phoneticPr fontId="5" type="noConversion"/>
  </si>
  <si>
    <r>
      <t>带式组合</t>
    </r>
    <r>
      <rPr>
        <b/>
        <sz val="10"/>
        <color indexed="62"/>
        <rFont val="Arial"/>
        <family val="2"/>
      </rPr>
      <t>(straps)</t>
    </r>
  </si>
  <si>
    <t>2份看涨期权多头+看跌期权多头</t>
    <phoneticPr fontId="5" type="noConversion"/>
  </si>
  <si>
    <t>2份看涨期权空头+看跌期权空头</t>
    <phoneticPr fontId="5" type="noConversion"/>
  </si>
  <si>
    <r>
      <t>宽跨式组合</t>
    </r>
    <r>
      <rPr>
        <b/>
        <sz val="10"/>
        <color indexed="62"/>
        <rFont val="Arial"/>
        <family val="2"/>
      </rPr>
      <t>(strangles)</t>
    </r>
  </si>
  <si>
    <t>看跌期权多头+看涨期权多头</t>
    <phoneticPr fontId="5" type="noConversion"/>
  </si>
  <si>
    <t>看跌期权空头+看涨期权空头</t>
    <phoneticPr fontId="5" type="noConversion"/>
  </si>
  <si>
    <t>输出</t>
    <phoneticPr fontId="5" type="noConversion"/>
  </si>
  <si>
    <t>组合的总盈亏</t>
    <phoneticPr fontId="5" type="noConversion"/>
  </si>
  <si>
    <t>欧式定价</t>
  </si>
  <si>
    <t>隐含波动率</t>
  </si>
  <si>
    <t>目录</t>
  </si>
  <si>
    <t>股票期权与股票等比率组合</t>
  </si>
  <si>
    <t>差价组合(bull&amp;bear spreads)</t>
  </si>
  <si>
    <t>蝶式差价组合(butterfly spreads)</t>
  </si>
  <si>
    <t>差期组合(calendar spreads)</t>
  </si>
  <si>
    <t>跨式组合(straddle)</t>
  </si>
  <si>
    <t>条式组合(strips)</t>
  </si>
  <si>
    <t>带式组合(straps)</t>
  </si>
  <si>
    <t>宽跨式组合(strangles)</t>
  </si>
  <si>
    <t>对角组合(diagonal spreads)</t>
  </si>
  <si>
    <t>指标影响对照表</t>
    <phoneticPr fontId="14" type="noConversion"/>
  </si>
  <si>
    <t>因素</t>
  </si>
  <si>
    <t>S标的价格</t>
  </si>
  <si>
    <t>X执行价格</t>
  </si>
  <si>
    <t>T到期时间</t>
  </si>
  <si>
    <t>σ波动率</t>
  </si>
  <si>
    <t>r无风险利率</t>
  </si>
  <si>
    <t>D股息率</t>
  </si>
  <si>
    <t>看涨期权Call</t>
  </si>
  <si>
    <t>看跌期权Put</t>
  </si>
  <si>
    <t>欧式期权</t>
  </si>
  <si>
    <t>美式期权</t>
  </si>
  <si>
    <t>+</t>
  </si>
  <si>
    <t>-</t>
  </si>
  <si>
    <t>N/A</t>
  </si>
  <si>
    <t>Call边际</t>
    <phoneticPr fontId="5" type="noConversion"/>
  </si>
  <si>
    <t>~</t>
    <phoneticPr fontId="5" type="noConversion"/>
  </si>
  <si>
    <t>Put边际</t>
    <phoneticPr fontId="5" type="noConversion"/>
  </si>
  <si>
    <t>价格边际</t>
    <phoneticPr fontId="5" type="noConversion"/>
  </si>
  <si>
    <t>put call parity</t>
    <phoneticPr fontId="5" type="noConversion"/>
  </si>
  <si>
    <t>Call-Put</t>
    <phoneticPr fontId="5" type="noConversion"/>
  </si>
  <si>
    <t>C1</t>
    <phoneticPr fontId="5" type="noConversion"/>
  </si>
  <si>
    <t>C2</t>
    <phoneticPr fontId="5" type="noConversion"/>
  </si>
  <si>
    <t>Call L</t>
    <phoneticPr fontId="5" type="noConversion"/>
  </si>
  <si>
    <t>Call H</t>
    <phoneticPr fontId="5" type="noConversion"/>
  </si>
  <si>
    <t>K L</t>
    <phoneticPr fontId="5" type="noConversion"/>
  </si>
  <si>
    <t>K H</t>
    <phoneticPr fontId="5" type="noConversion"/>
  </si>
  <si>
    <t>Put L</t>
    <phoneticPr fontId="5" type="noConversion"/>
  </si>
  <si>
    <t>Put H</t>
    <phoneticPr fontId="5" type="noConversion"/>
  </si>
  <si>
    <t>~</t>
    <phoneticPr fontId="5" type="noConversion"/>
  </si>
  <si>
    <t>买权垂直价差边际</t>
    <phoneticPr fontId="5" type="noConversion"/>
  </si>
  <si>
    <t>卖权垂直价差边际</t>
    <phoneticPr fontId="5" type="noConversion"/>
  </si>
  <si>
    <t>Put H - Put L：</t>
    <phoneticPr fontId="5" type="noConversion"/>
  </si>
  <si>
    <t>Call L - Call H：</t>
    <phoneticPr fontId="5" type="noConversion"/>
  </si>
  <si>
    <t>垂直价差</t>
    <phoneticPr fontId="5" type="noConversion"/>
  </si>
  <si>
    <t>K1&lt;K2&lt;K3</t>
    <phoneticPr fontId="5" type="noConversion"/>
  </si>
  <si>
    <t>C1&gt;C2&gt;C3</t>
    <phoneticPr fontId="5" type="noConversion"/>
  </si>
  <si>
    <t>K1</t>
    <phoneticPr fontId="5" type="noConversion"/>
  </si>
  <si>
    <t>K2</t>
    <phoneticPr fontId="5" type="noConversion"/>
  </si>
  <si>
    <t>K3</t>
    <phoneticPr fontId="5" type="noConversion"/>
  </si>
  <si>
    <t>C3</t>
    <phoneticPr fontId="5" type="noConversion"/>
  </si>
  <si>
    <t>P1&lt;P2&lt;P3</t>
    <phoneticPr fontId="5" type="noConversion"/>
  </si>
  <si>
    <t>P1</t>
    <phoneticPr fontId="5" type="noConversion"/>
  </si>
  <si>
    <t>P2</t>
    <phoneticPr fontId="5" type="noConversion"/>
  </si>
  <si>
    <t>P3</t>
    <phoneticPr fontId="5" type="noConversion"/>
  </si>
  <si>
    <t>凸度套利</t>
    <phoneticPr fontId="5" type="noConversion"/>
  </si>
  <si>
    <t>套利模块</t>
    <phoneticPr fontId="14" type="noConversion"/>
  </si>
  <si>
    <t>Breakeven</t>
    <phoneticPr fontId="14" type="noConversion"/>
  </si>
  <si>
    <t>Differ</t>
    <phoneticPr fontId="14" type="noConversion"/>
  </si>
  <si>
    <t>牛市看跌组合在执行价格之间更慢盈亏平衡，盈利空间更小，亏损更大，但是可以提前获得权利金</t>
    <phoneticPr fontId="14" type="noConversion"/>
  </si>
  <si>
    <t>牛市看涨组合在执行价格之间更快盈亏平衡，盈利空间更大，亏损更小，但是需要提前支付权利金</t>
    <phoneticPr fontId="14" type="noConversion"/>
  </si>
  <si>
    <t>波动率估计（volatility estimate）</t>
    <phoneticPr fontId="14" type="noConversion"/>
  </si>
  <si>
    <t>ST Call</t>
    <phoneticPr fontId="14" type="noConversion"/>
  </si>
  <si>
    <t>LT Call</t>
    <phoneticPr fontId="14" type="noConversion"/>
  </si>
  <si>
    <t>ST Put</t>
    <phoneticPr fontId="14" type="noConversion"/>
  </si>
  <si>
    <t>LT Put</t>
    <phoneticPr fontId="14" type="noConversion"/>
  </si>
</sst>
</file>

<file path=xl/styles.xml><?xml version="1.0" encoding="utf-8"?>
<styleSheet xmlns="http://schemas.openxmlformats.org/spreadsheetml/2006/main">
  <numFmts count="6">
    <numFmt numFmtId="176" formatCode="_ &quot;￥&quot;* #,##0.00_ ;_ &quot;￥&quot;* \-#,##0.00_ ;_ &quot;￥&quot;* &quot;-&quot;??_ ;_ @_ "/>
    <numFmt numFmtId="177" formatCode="_-&quot;￥&quot;* #,##0.00_-;\-&quot;￥&quot;* #,##0.00_-;_-&quot;￥&quot;* &quot;-&quot;??_-;_-@_-"/>
    <numFmt numFmtId="178" formatCode="&quot;$&quot;#,##0.00"/>
    <numFmt numFmtId="179" formatCode="0.0000_ "/>
    <numFmt numFmtId="180" formatCode="0.0_ "/>
    <numFmt numFmtId="181" formatCode="0.00_ "/>
  </numFmts>
  <fonts count="39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name val="Arial"/>
      <family val="2"/>
    </font>
    <font>
      <b/>
      <sz val="12"/>
      <name val="Arial"/>
      <family val="2"/>
    </font>
    <font>
      <sz val="9"/>
      <name val="宋体"/>
      <family val="3"/>
      <charset val="134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62"/>
      <name val="Arial"/>
      <family val="2"/>
    </font>
    <font>
      <b/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"/>
      <name val="Symbol"/>
      <family val="1"/>
      <charset val="2"/>
    </font>
    <font>
      <b/>
      <sz val="10"/>
      <color theme="0"/>
      <name val="Arial"/>
      <family val="2"/>
    </font>
    <font>
      <b/>
      <sz val="12"/>
      <color indexed="6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color theme="0"/>
      <name val="Arial"/>
      <family val="2"/>
    </font>
    <font>
      <b/>
      <sz val="10"/>
      <color indexed="62"/>
      <name val="宋体"/>
      <family val="3"/>
      <charset val="134"/>
    </font>
    <font>
      <b/>
      <sz val="12"/>
      <name val="宋体"/>
      <family val="3"/>
      <charset val="134"/>
    </font>
    <font>
      <b/>
      <sz val="20"/>
      <color indexed="10"/>
      <name val="宋体"/>
      <family val="3"/>
      <charset val="134"/>
    </font>
    <font>
      <b/>
      <sz val="16"/>
      <color indexed="17"/>
      <name val="宋体"/>
      <family val="3"/>
      <charset val="134"/>
    </font>
    <font>
      <sz val="10"/>
      <color indexed="17"/>
      <name val="宋体"/>
      <family val="3"/>
      <charset val="134"/>
    </font>
    <font>
      <sz val="10"/>
      <name val="宋体"/>
      <family val="3"/>
      <charset val="134"/>
    </font>
    <font>
      <b/>
      <sz val="10"/>
      <color indexed="17"/>
      <name val="Times New Roman"/>
      <family val="1"/>
    </font>
    <font>
      <sz val="10"/>
      <color indexed="12"/>
      <name val="宋体"/>
      <family val="3"/>
      <charset val="134"/>
    </font>
    <font>
      <b/>
      <sz val="10"/>
      <name val="Times New Roman"/>
      <family val="1"/>
    </font>
    <font>
      <sz val="10"/>
      <color indexed="9"/>
      <name val="宋体"/>
      <family val="3"/>
      <charset val="134"/>
    </font>
    <font>
      <sz val="12"/>
      <color theme="0"/>
      <name val="宋体"/>
      <family val="3"/>
      <charset val="134"/>
    </font>
    <font>
      <b/>
      <sz val="10"/>
      <color indexed="62"/>
      <name val="Arial"/>
      <family val="2"/>
    </font>
    <font>
      <sz val="12"/>
      <color indexed="17"/>
      <name val="宋体"/>
      <family val="3"/>
      <charset val="134"/>
    </font>
    <font>
      <b/>
      <sz val="10"/>
      <color indexed="57"/>
      <name val="Times New Roman"/>
      <family val="1"/>
    </font>
    <font>
      <sz val="12"/>
      <color indexed="9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6"/>
      <color indexed="17"/>
      <name val="宋体"/>
      <family val="3"/>
      <charset val="134"/>
    </font>
    <font>
      <b/>
      <sz val="10"/>
      <color indexed="17"/>
      <name val="宋体"/>
      <family val="3"/>
      <charset val="134"/>
    </font>
    <font>
      <b/>
      <sz val="9"/>
      <color indexed="81"/>
      <name val="宋体"/>
      <family val="3"/>
      <charset val="134"/>
    </font>
    <font>
      <u/>
      <sz val="11"/>
      <color theme="10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color rgb="FFFF0000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3DFEE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7BA0CD"/>
      </left>
      <right/>
      <top style="medium">
        <color rgb="FF7BA0CD"/>
      </top>
      <bottom style="medium">
        <color rgb="FF7BA0CD"/>
      </bottom>
      <diagonal/>
    </border>
    <border>
      <left/>
      <right/>
      <top style="medium">
        <color rgb="FF7BA0CD"/>
      </top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/>
      <top/>
      <bottom style="medium">
        <color rgb="FF7BA0CD"/>
      </bottom>
      <diagonal/>
    </border>
    <border>
      <left/>
      <right/>
      <top/>
      <bottom style="medium">
        <color rgb="FF7BA0CD"/>
      </bottom>
      <diagonal/>
    </border>
    <border>
      <left/>
      <right style="medium">
        <color rgb="FF7BA0CD"/>
      </right>
      <top/>
      <bottom style="medium">
        <color rgb="FF7BA0CD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177" fontId="2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</cellStyleXfs>
  <cellXfs count="120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0" fillId="2" borderId="0" xfId="0" applyFill="1">
      <alignment vertical="center"/>
    </xf>
    <xf numFmtId="0" fontId="3" fillId="2" borderId="2" xfId="2" applyFont="1" applyFill="1" applyBorder="1">
      <alignment vertical="center"/>
    </xf>
    <xf numFmtId="0" fontId="3" fillId="2" borderId="3" xfId="3" applyFont="1" applyFill="1" applyBorder="1"/>
    <xf numFmtId="0" fontId="3" fillId="2" borderId="0" xfId="2" applyFont="1" applyFill="1" applyBorder="1">
      <alignment vertical="center"/>
    </xf>
    <xf numFmtId="178" fontId="7" fillId="2" borderId="6" xfId="4" applyNumberFormat="1" applyFont="1" applyFill="1" applyBorder="1" applyAlignment="1"/>
    <xf numFmtId="0" fontId="3" fillId="2" borderId="0" xfId="3" applyFont="1" applyFill="1"/>
    <xf numFmtId="178" fontId="7" fillId="2" borderId="0" xfId="4" applyNumberFormat="1" applyFont="1" applyFill="1" applyBorder="1" applyAlignment="1"/>
    <xf numFmtId="178" fontId="7" fillId="2" borderId="2" xfId="4" applyNumberFormat="1" applyFont="1" applyFill="1" applyBorder="1" applyAlignment="1"/>
    <xf numFmtId="0" fontId="7" fillId="2" borderId="3" xfId="2" applyFont="1" applyFill="1" applyBorder="1">
      <alignment vertical="center"/>
    </xf>
    <xf numFmtId="0" fontId="7" fillId="2" borderId="5" xfId="3" applyFont="1" applyFill="1" applyBorder="1" applyAlignment="1">
      <alignment horizontal="right"/>
    </xf>
    <xf numFmtId="2" fontId="7" fillId="3" borderId="4" xfId="4" applyNumberFormat="1" applyFont="1" applyFill="1" applyBorder="1" applyAlignment="1"/>
    <xf numFmtId="10" fontId="7" fillId="3" borderId="4" xfId="1" applyNumberFormat="1" applyFont="1" applyFill="1" applyBorder="1" applyAlignment="1"/>
    <xf numFmtId="2" fontId="7" fillId="3" borderId="4" xfId="1" applyNumberFormat="1" applyFont="1" applyFill="1" applyBorder="1" applyAlignment="1"/>
    <xf numFmtId="0" fontId="8" fillId="2" borderId="0" xfId="2" applyFont="1" applyFill="1" applyAlignment="1">
      <alignment vertical="center"/>
    </xf>
    <xf numFmtId="0" fontId="6" fillId="2" borderId="1" xfId="3" applyFont="1" applyFill="1" applyBorder="1"/>
    <xf numFmtId="0" fontId="6" fillId="2" borderId="1" xfId="2" applyFont="1" applyFill="1" applyBorder="1">
      <alignment vertical="center"/>
    </xf>
    <xf numFmtId="0" fontId="10" fillId="2" borderId="0" xfId="0" applyFont="1" applyFill="1">
      <alignment vertical="center"/>
    </xf>
    <xf numFmtId="0" fontId="6" fillId="2" borderId="2" xfId="3" applyFont="1" applyFill="1" applyBorder="1"/>
    <xf numFmtId="0" fontId="0" fillId="2" borderId="0" xfId="0" applyFill="1" applyBorder="1">
      <alignment vertical="center"/>
    </xf>
    <xf numFmtId="0" fontId="6" fillId="2" borderId="0" xfId="3" applyFont="1" applyFill="1" applyBorder="1"/>
    <xf numFmtId="0" fontId="6" fillId="2" borderId="0" xfId="2" applyFont="1" applyFill="1" applyBorder="1" applyAlignment="1">
      <alignment horizontal="right"/>
    </xf>
    <xf numFmtId="0" fontId="3" fillId="2" borderId="0" xfId="3" applyFont="1" applyFill="1" applyBorder="1"/>
    <xf numFmtId="0" fontId="6" fillId="2" borderId="0" xfId="3" applyFont="1" applyFill="1" applyBorder="1" applyAlignment="1">
      <alignment horizontal="right"/>
    </xf>
    <xf numFmtId="0" fontId="6" fillId="2" borderId="2" xfId="2" applyFont="1" applyFill="1" applyBorder="1">
      <alignment vertical="center"/>
    </xf>
    <xf numFmtId="0" fontId="7" fillId="2" borderId="0" xfId="2" applyFont="1" applyFill="1" applyBorder="1">
      <alignment vertical="center"/>
    </xf>
    <xf numFmtId="0" fontId="7" fillId="2" borderId="6" xfId="3" applyFont="1" applyFill="1" applyBorder="1" applyAlignment="1">
      <alignment horizontal="right"/>
    </xf>
    <xf numFmtId="0" fontId="9" fillId="2" borderId="3" xfId="3" applyFont="1" applyFill="1" applyBorder="1" applyAlignment="1">
      <alignment horizontal="right"/>
    </xf>
    <xf numFmtId="179" fontId="7" fillId="3" borderId="4" xfId="1" applyNumberFormat="1" applyFont="1" applyFill="1" applyBorder="1" applyAlignment="1"/>
    <xf numFmtId="179" fontId="0" fillId="2" borderId="0" xfId="0" applyNumberFormat="1" applyFill="1">
      <alignment vertical="center"/>
    </xf>
    <xf numFmtId="179" fontId="6" fillId="2" borderId="0" xfId="3" applyNumberFormat="1" applyFont="1" applyFill="1" applyBorder="1" applyAlignment="1">
      <alignment horizontal="right"/>
    </xf>
    <xf numFmtId="2" fontId="6" fillId="2" borderId="0" xfId="3" applyNumberFormat="1" applyFont="1" applyFill="1" applyBorder="1" applyAlignment="1">
      <alignment horizontal="right"/>
    </xf>
    <xf numFmtId="0" fontId="12" fillId="2" borderId="0" xfId="3" applyFont="1" applyFill="1" applyBorder="1" applyAlignment="1">
      <alignment horizontal="right"/>
    </xf>
    <xf numFmtId="0" fontId="13" fillId="2" borderId="0" xfId="2" applyFont="1" applyFill="1" applyAlignment="1">
      <alignment vertical="center"/>
    </xf>
    <xf numFmtId="0" fontId="15" fillId="2" borderId="0" xfId="2" applyFont="1" applyFill="1" applyBorder="1">
      <alignment vertical="center"/>
    </xf>
    <xf numFmtId="0" fontId="9" fillId="2" borderId="0" xfId="3" applyFont="1" applyFill="1" applyBorder="1" applyAlignment="1">
      <alignment horizontal="right"/>
    </xf>
    <xf numFmtId="10" fontId="6" fillId="2" borderId="0" xfId="1" applyNumberFormat="1" applyFont="1" applyFill="1" applyBorder="1" applyAlignment="1"/>
    <xf numFmtId="0" fontId="16" fillId="2" borderId="0" xfId="0" applyFont="1" applyFill="1" applyAlignment="1">
      <alignment vertical="center"/>
    </xf>
    <xf numFmtId="0" fontId="17" fillId="2" borderId="0" xfId="0" applyFont="1" applyFill="1">
      <alignment vertical="center"/>
    </xf>
    <xf numFmtId="0" fontId="18" fillId="2" borderId="0" xfId="0" applyFont="1" applyFill="1" applyBorder="1" applyAlignment="1">
      <alignment horizontal="left" vertical="center"/>
    </xf>
    <xf numFmtId="0" fontId="19" fillId="2" borderId="0" xfId="0" applyFont="1" applyFill="1">
      <alignment vertical="center"/>
    </xf>
    <xf numFmtId="0" fontId="21" fillId="2" borderId="0" xfId="0" applyFont="1" applyFill="1">
      <alignment vertical="center"/>
    </xf>
    <xf numFmtId="0" fontId="0" fillId="2" borderId="0" xfId="0" applyFill="1" applyAlignment="1">
      <alignment horizontal="right" vertical="center"/>
    </xf>
    <xf numFmtId="0" fontId="22" fillId="2" borderId="0" xfId="0" applyFont="1" applyFill="1">
      <alignment vertical="center"/>
    </xf>
    <xf numFmtId="0" fontId="9" fillId="2" borderId="0" xfId="0" applyFont="1" applyFill="1" applyBorder="1">
      <alignment vertical="center"/>
    </xf>
    <xf numFmtId="0" fontId="21" fillId="2" borderId="0" xfId="0" applyFont="1" applyFill="1" applyAlignment="1">
      <alignment horizontal="right" vertical="center"/>
    </xf>
    <xf numFmtId="0" fontId="21" fillId="2" borderId="4" xfId="0" applyFont="1" applyFill="1" applyBorder="1">
      <alignment vertical="center"/>
    </xf>
    <xf numFmtId="0" fontId="21" fillId="2" borderId="0" xfId="0" applyFont="1" applyFill="1" applyBorder="1">
      <alignment vertical="center"/>
    </xf>
    <xf numFmtId="180" fontId="21" fillId="2" borderId="0" xfId="5" applyNumberFormat="1" applyFont="1" applyFill="1" applyBorder="1" applyAlignment="1"/>
    <xf numFmtId="180" fontId="21" fillId="2" borderId="0" xfId="0" applyNumberFormat="1" applyFont="1" applyFill="1">
      <alignment vertical="center"/>
    </xf>
    <xf numFmtId="0" fontId="9" fillId="2" borderId="0" xfId="0" applyFont="1" applyFill="1" applyAlignment="1">
      <alignment vertical="center"/>
    </xf>
    <xf numFmtId="0" fontId="24" fillId="2" borderId="0" xfId="0" applyFont="1" applyFill="1">
      <alignment vertical="center"/>
    </xf>
    <xf numFmtId="0" fontId="25" fillId="2" borderId="0" xfId="0" applyFont="1" applyFill="1">
      <alignment vertical="center"/>
    </xf>
    <xf numFmtId="0" fontId="19" fillId="2" borderId="0" xfId="0" applyFont="1" applyFill="1" applyBorder="1">
      <alignment vertical="center"/>
    </xf>
    <xf numFmtId="0" fontId="20" fillId="2" borderId="0" xfId="0" applyFont="1" applyFill="1" applyBorder="1">
      <alignment vertical="center"/>
    </xf>
    <xf numFmtId="0" fontId="0" fillId="2" borderId="0" xfId="0" applyFill="1" applyBorder="1" applyAlignment="1">
      <alignment horizontal="right" vertical="center"/>
    </xf>
    <xf numFmtId="0" fontId="22" fillId="2" borderId="0" xfId="0" applyFont="1" applyFill="1" applyBorder="1">
      <alignment vertical="center"/>
    </xf>
    <xf numFmtId="0" fontId="25" fillId="2" borderId="0" xfId="0" applyFont="1" applyFill="1" applyBorder="1">
      <alignment vertical="center"/>
    </xf>
    <xf numFmtId="180" fontId="21" fillId="2" borderId="0" xfId="0" applyNumberFormat="1" applyFont="1" applyFill="1" applyBorder="1">
      <alignment vertical="center"/>
    </xf>
    <xf numFmtId="180" fontId="23" fillId="2" borderId="0" xfId="0" applyNumberFormat="1" applyFont="1" applyFill="1" applyBorder="1">
      <alignment vertical="center"/>
    </xf>
    <xf numFmtId="0" fontId="2" fillId="2" borderId="0" xfId="0" applyFont="1" applyFill="1">
      <alignment vertical="center"/>
    </xf>
    <xf numFmtId="0" fontId="9" fillId="2" borderId="0" xfId="0" applyFont="1" applyFill="1">
      <alignment vertical="center"/>
    </xf>
    <xf numFmtId="180" fontId="21" fillId="2" borderId="4" xfId="0" applyNumberFormat="1" applyFont="1" applyFill="1" applyBorder="1">
      <alignment vertical="center"/>
    </xf>
    <xf numFmtId="0" fontId="26" fillId="2" borderId="0" xfId="0" applyFont="1" applyFill="1">
      <alignment vertical="center"/>
    </xf>
    <xf numFmtId="0" fontId="28" fillId="2" borderId="0" xfId="0" applyFont="1" applyFill="1">
      <alignment vertical="center"/>
    </xf>
    <xf numFmtId="0" fontId="29" fillId="2" borderId="0" xfId="0" applyFont="1" applyFill="1">
      <alignment vertical="center"/>
    </xf>
    <xf numFmtId="0" fontId="21" fillId="2" borderId="0" xfId="0" applyFont="1" applyFill="1" applyAlignment="1">
      <alignment horizontal="center" vertical="center"/>
    </xf>
    <xf numFmtId="0" fontId="30" fillId="2" borderId="0" xfId="0" applyFont="1" applyFill="1">
      <alignment vertical="center"/>
    </xf>
    <xf numFmtId="0" fontId="31" fillId="2" borderId="0" xfId="0" applyFont="1" applyFill="1" applyBorder="1" applyAlignment="1">
      <alignment horizontal="left" vertical="center"/>
    </xf>
    <xf numFmtId="0" fontId="32" fillId="2" borderId="0" xfId="0" applyFont="1" applyFill="1">
      <alignment vertical="center"/>
    </xf>
    <xf numFmtId="0" fontId="33" fillId="2" borderId="0" xfId="0" applyFont="1" applyFill="1">
      <alignment vertical="center"/>
    </xf>
    <xf numFmtId="0" fontId="21" fillId="2" borderId="0" xfId="0" quotePrefix="1" applyFont="1" applyFill="1">
      <alignment vertical="center"/>
    </xf>
    <xf numFmtId="0" fontId="16" fillId="2" borderId="0" xfId="0" applyFont="1" applyFill="1" applyBorder="1" applyAlignment="1">
      <alignment vertical="center"/>
    </xf>
    <xf numFmtId="0" fontId="17" fillId="2" borderId="0" xfId="0" applyFont="1" applyFill="1" applyBorder="1">
      <alignment vertical="center"/>
    </xf>
    <xf numFmtId="0" fontId="21" fillId="2" borderId="0" xfId="0" applyFont="1" applyFill="1" applyBorder="1" applyAlignment="1">
      <alignment horizontal="right" vertical="center"/>
    </xf>
    <xf numFmtId="0" fontId="10" fillId="2" borderId="0" xfId="0" applyFont="1" applyFill="1" applyAlignment="1">
      <alignment horizontal="distributed" vertical="center" justifyLastLine="1"/>
    </xf>
    <xf numFmtId="0" fontId="35" fillId="2" borderId="0" xfId="6" applyFill="1" applyAlignment="1" applyProtection="1">
      <alignment vertical="center"/>
    </xf>
    <xf numFmtId="0" fontId="36" fillId="4" borderId="7" xfId="0" applyFont="1" applyFill="1" applyBorder="1" applyAlignment="1">
      <alignment horizontal="center" vertical="top"/>
    </xf>
    <xf numFmtId="0" fontId="36" fillId="5" borderId="10" xfId="0" applyFont="1" applyFill="1" applyBorder="1" applyAlignment="1">
      <alignment horizontal="center" vertical="top"/>
    </xf>
    <xf numFmtId="0" fontId="37" fillId="5" borderId="11" xfId="0" applyFont="1" applyFill="1" applyBorder="1" applyAlignment="1">
      <alignment horizontal="center" vertical="top"/>
    </xf>
    <xf numFmtId="0" fontId="37" fillId="5" borderId="12" xfId="0" applyFont="1" applyFill="1" applyBorder="1" applyAlignment="1">
      <alignment horizontal="center" vertical="top"/>
    </xf>
    <xf numFmtId="0" fontId="36" fillId="0" borderId="10" xfId="0" applyFont="1" applyBorder="1" applyAlignment="1">
      <alignment horizontal="center" vertical="top"/>
    </xf>
    <xf numFmtId="0" fontId="37" fillId="0" borderId="11" xfId="0" applyFont="1" applyBorder="1" applyAlignment="1">
      <alignment horizontal="center" vertical="top"/>
    </xf>
    <xf numFmtId="0" fontId="37" fillId="0" borderId="12" xfId="0" applyFont="1" applyBorder="1" applyAlignment="1">
      <alignment horizontal="center" vertical="top"/>
    </xf>
    <xf numFmtId="181" fontId="7" fillId="3" borderId="4" xfId="1" applyNumberFormat="1" applyFont="1" applyFill="1" applyBorder="1" applyAlignment="1"/>
    <xf numFmtId="0" fontId="0" fillId="2" borderId="13" xfId="0" applyFill="1" applyBorder="1">
      <alignment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16" xfId="0" applyFill="1" applyBorder="1" applyAlignment="1">
      <alignment horizontal="right" vertical="center"/>
    </xf>
    <xf numFmtId="181" fontId="0" fillId="6" borderId="0" xfId="0" applyNumberFormat="1" applyFill="1" applyBorder="1" applyAlignment="1">
      <alignment horizontal="right" vertical="center"/>
    </xf>
    <xf numFmtId="0" fontId="0" fillId="6" borderId="0" xfId="0" applyFill="1" applyBorder="1" applyAlignment="1">
      <alignment horizontal="center"/>
    </xf>
    <xf numFmtId="2" fontId="0" fillId="6" borderId="17" xfId="0" applyNumberFormat="1" applyFill="1" applyBorder="1" applyAlignment="1">
      <alignment horizontal="left" vertical="center"/>
    </xf>
    <xf numFmtId="0" fontId="0" fillId="2" borderId="18" xfId="0" applyFill="1" applyBorder="1" applyAlignment="1">
      <alignment horizontal="right" vertical="center"/>
    </xf>
    <xf numFmtId="181" fontId="0" fillId="6" borderId="19" xfId="0" applyNumberFormat="1" applyFill="1" applyBorder="1" applyAlignment="1">
      <alignment horizontal="right" vertical="center"/>
    </xf>
    <xf numFmtId="0" fontId="0" fillId="6" borderId="19" xfId="0" applyFill="1" applyBorder="1" applyAlignment="1">
      <alignment horizontal="center"/>
    </xf>
    <xf numFmtId="2" fontId="0" fillId="6" borderId="20" xfId="0" applyNumberFormat="1" applyFill="1" applyBorder="1" applyAlignment="1">
      <alignment horizontal="left" vertical="center"/>
    </xf>
    <xf numFmtId="0" fontId="0" fillId="6" borderId="13" xfId="0" applyFill="1" applyBorder="1">
      <alignment vertical="center"/>
    </xf>
    <xf numFmtId="0" fontId="0" fillId="6" borderId="18" xfId="0" applyFill="1" applyBorder="1">
      <alignment vertical="center"/>
    </xf>
    <xf numFmtId="0" fontId="0" fillId="2" borderId="19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19" xfId="0" applyFill="1" applyBorder="1" applyAlignment="1">
      <alignment horizontal="right" vertical="center"/>
    </xf>
    <xf numFmtId="0" fontId="6" fillId="2" borderId="16" xfId="3" applyFont="1" applyFill="1" applyBorder="1" applyAlignment="1">
      <alignment horizontal="right"/>
    </xf>
    <xf numFmtId="0" fontId="0" fillId="2" borderId="17" xfId="0" applyFill="1" applyBorder="1">
      <alignment vertical="center"/>
    </xf>
    <xf numFmtId="0" fontId="0" fillId="2" borderId="16" xfId="0" applyFill="1" applyBorder="1">
      <alignment vertical="center"/>
    </xf>
    <xf numFmtId="0" fontId="0" fillId="2" borderId="18" xfId="0" applyFill="1" applyBorder="1">
      <alignment vertical="center"/>
    </xf>
    <xf numFmtId="0" fontId="10" fillId="2" borderId="0" xfId="0" applyFont="1" applyFill="1" applyBorder="1">
      <alignment vertical="center"/>
    </xf>
    <xf numFmtId="2" fontId="7" fillId="3" borderId="0" xfId="4" applyNumberFormat="1" applyFont="1" applyFill="1" applyBorder="1" applyAlignment="1"/>
    <xf numFmtId="0" fontId="0" fillId="2" borderId="6" xfId="0" applyFill="1" applyBorder="1">
      <alignment vertical="center"/>
    </xf>
    <xf numFmtId="0" fontId="10" fillId="2" borderId="6" xfId="0" applyFont="1" applyFill="1" applyBorder="1">
      <alignment vertical="center"/>
    </xf>
    <xf numFmtId="2" fontId="7" fillId="3" borderId="6" xfId="4" applyNumberFormat="1" applyFont="1" applyFill="1" applyBorder="1" applyAlignment="1"/>
    <xf numFmtId="0" fontId="0" fillId="2" borderId="21" xfId="0" applyFill="1" applyBorder="1">
      <alignment vertical="center"/>
    </xf>
    <xf numFmtId="0" fontId="0" fillId="2" borderId="22" xfId="0" applyFill="1" applyBorder="1">
      <alignment vertical="center"/>
    </xf>
    <xf numFmtId="0" fontId="38" fillId="2" borderId="0" xfId="0" applyFont="1" applyFill="1">
      <alignment vertical="center"/>
    </xf>
    <xf numFmtId="181" fontId="38" fillId="2" borderId="0" xfId="0" applyNumberFormat="1" applyFont="1" applyFill="1" applyBorder="1">
      <alignment vertical="center"/>
    </xf>
    <xf numFmtId="0" fontId="36" fillId="4" borderId="8" xfId="0" applyFont="1" applyFill="1" applyBorder="1" applyAlignment="1">
      <alignment horizontal="center" vertical="top" wrapText="1"/>
    </xf>
    <xf numFmtId="0" fontId="36" fillId="4" borderId="9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 vertical="center" wrapText="1"/>
    </xf>
    <xf numFmtId="0" fontId="0" fillId="6" borderId="19" xfId="0" applyFill="1" applyBorder="1" applyAlignment="1">
      <alignment vertical="center" wrapText="1" shrinkToFit="1"/>
    </xf>
    <xf numFmtId="0" fontId="0" fillId="0" borderId="20" xfId="0" applyBorder="1" applyAlignment="1">
      <alignment vertical="center" wrapText="1" shrinkToFit="1"/>
    </xf>
  </cellXfs>
  <cellStyles count="7">
    <cellStyle name="百分比" xfId="1" builtinId="5"/>
    <cellStyle name="常规" xfId="0" builtinId="0"/>
    <cellStyle name="常规_BS-MCS" xfId="3"/>
    <cellStyle name="常规_Option_Pricing" xfId="2"/>
    <cellStyle name="超链接" xfId="6" builtinId="8"/>
    <cellStyle name="货币" xfId="5" builtinId="4"/>
    <cellStyle name="货币_Option_Pricing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8388736"/>
  <ax:ocxPr ax:name="BackColor" ax:value="16776960"/>
  <ax:ocxPr ax:name="Caption" ax:value="目录"/>
  <ax:ocxPr ax:name="Size" ax:value="2143;873"/>
  <ax:ocxPr ax:name="FontName" ax:value="微软雅黑"/>
  <ax:ocxPr ax:name="FontEffects" ax:value="1073741825"/>
  <ax:ocxPr ax:name="FontHeight" ax:value="225"/>
  <ax:ocxPr ax:name="FontCharSet" ax:value="134"/>
  <ax:ocxPr ax:name="FontPitchAndFamily" ax:value="34"/>
  <ax:ocxPr ax:name="ParagraphAlign" ax:value="3"/>
  <ax:ocxPr ax:name="FontWeight" ax:value="700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plotArea>
      <c:layout>
        <c:manualLayout>
          <c:layoutTarget val="inner"/>
          <c:xMode val="edge"/>
          <c:yMode val="edge"/>
          <c:x val="5.6879899041965096E-2"/>
          <c:y val="7.4548702245552628E-2"/>
          <c:w val="0.92730049827293037"/>
          <c:h val="0.84935549722951753"/>
        </c:manualLayout>
      </c:layout>
      <c:lineChart>
        <c:grouping val="standard"/>
        <c:ser>
          <c:idx val="0"/>
          <c:order val="0"/>
          <c:tx>
            <c:strRef>
              <c:f>欧式定价!$F$3</c:f>
              <c:strCache>
                <c:ptCount val="1"/>
                <c:pt idx="0">
                  <c:v>Call 价格</c:v>
                </c:pt>
              </c:strCache>
            </c:strRef>
          </c:tx>
          <c:marker>
            <c:symbol val="diamond"/>
            <c:size val="5"/>
            <c:spPr>
              <a:solidFill>
                <a:schemeClr val="bg1"/>
              </a:solidFill>
            </c:spPr>
          </c:marker>
          <c:cat>
            <c:numRef>
              <c:f>欧式定价!$E$5:$E$20</c:f>
              <c:numCache>
                <c:formatCode>0.00</c:formatCode>
                <c:ptCount val="16"/>
                <c:pt idx="0">
                  <c:v>2365</c:v>
                </c:pt>
                <c:pt idx="1">
                  <c:v>2370</c:v>
                </c:pt>
                <c:pt idx="2">
                  <c:v>2375</c:v>
                </c:pt>
                <c:pt idx="3">
                  <c:v>2380</c:v>
                </c:pt>
                <c:pt idx="4">
                  <c:v>2385</c:v>
                </c:pt>
                <c:pt idx="5">
                  <c:v>2390</c:v>
                </c:pt>
                <c:pt idx="6">
                  <c:v>2395</c:v>
                </c:pt>
                <c:pt idx="7">
                  <c:v>2400</c:v>
                </c:pt>
                <c:pt idx="8">
                  <c:v>2405</c:v>
                </c:pt>
                <c:pt idx="9">
                  <c:v>2410</c:v>
                </c:pt>
                <c:pt idx="10">
                  <c:v>2415</c:v>
                </c:pt>
                <c:pt idx="11">
                  <c:v>2420</c:v>
                </c:pt>
                <c:pt idx="12">
                  <c:v>2425</c:v>
                </c:pt>
                <c:pt idx="13">
                  <c:v>2430</c:v>
                </c:pt>
                <c:pt idx="14">
                  <c:v>2435</c:v>
                </c:pt>
                <c:pt idx="15">
                  <c:v>2440</c:v>
                </c:pt>
              </c:numCache>
            </c:numRef>
          </c:cat>
          <c:val>
            <c:numRef>
              <c:f>欧式定价!$F$5:$F$20</c:f>
              <c:numCache>
                <c:formatCode>0.0000_ 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ser>
          <c:idx val="1"/>
          <c:order val="1"/>
          <c:tx>
            <c:strRef>
              <c:f>欧式定价!$G$3</c:f>
              <c:strCache>
                <c:ptCount val="1"/>
                <c:pt idx="0">
                  <c:v>内蕴价值</c:v>
                </c:pt>
              </c:strCache>
            </c:strRef>
          </c:tx>
          <c:marker>
            <c:symbol val="circle"/>
            <c:size val="4"/>
            <c:spPr>
              <a:solidFill>
                <a:schemeClr val="bg1"/>
              </a:solidFill>
            </c:spPr>
          </c:marker>
          <c:cat>
            <c:numRef>
              <c:f>欧式定价!$E$5:$E$20</c:f>
              <c:numCache>
                <c:formatCode>0.00</c:formatCode>
                <c:ptCount val="16"/>
                <c:pt idx="0">
                  <c:v>2365</c:v>
                </c:pt>
                <c:pt idx="1">
                  <c:v>2370</c:v>
                </c:pt>
                <c:pt idx="2">
                  <c:v>2375</c:v>
                </c:pt>
                <c:pt idx="3">
                  <c:v>2380</c:v>
                </c:pt>
                <c:pt idx="4">
                  <c:v>2385</c:v>
                </c:pt>
                <c:pt idx="5">
                  <c:v>2390</c:v>
                </c:pt>
                <c:pt idx="6">
                  <c:v>2395</c:v>
                </c:pt>
                <c:pt idx="7">
                  <c:v>2400</c:v>
                </c:pt>
                <c:pt idx="8">
                  <c:v>2405</c:v>
                </c:pt>
                <c:pt idx="9">
                  <c:v>2410</c:v>
                </c:pt>
                <c:pt idx="10">
                  <c:v>2415</c:v>
                </c:pt>
                <c:pt idx="11">
                  <c:v>2420</c:v>
                </c:pt>
                <c:pt idx="12">
                  <c:v>2425</c:v>
                </c:pt>
                <c:pt idx="13">
                  <c:v>2430</c:v>
                </c:pt>
                <c:pt idx="14">
                  <c:v>2435</c:v>
                </c:pt>
                <c:pt idx="15">
                  <c:v>2440</c:v>
                </c:pt>
              </c:numCache>
            </c:numRef>
          </c:cat>
          <c:val>
            <c:numRef>
              <c:f>欧式定价!$G$5:$G$20</c:f>
              <c:numCache>
                <c:formatCode>0.0000_ 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</c:v>
                </c:pt>
                <c:pt idx="9">
                  <c:v>10</c:v>
                </c:pt>
                <c:pt idx="10">
                  <c:v>15</c:v>
                </c:pt>
                <c:pt idx="11">
                  <c:v>20</c:v>
                </c:pt>
                <c:pt idx="12">
                  <c:v>25</c:v>
                </c:pt>
                <c:pt idx="13">
                  <c:v>30</c:v>
                </c:pt>
                <c:pt idx="14">
                  <c:v>35</c:v>
                </c:pt>
                <c:pt idx="15">
                  <c:v>40</c:v>
                </c:pt>
              </c:numCache>
            </c:numRef>
          </c:val>
        </c:ser>
        <c:marker val="1"/>
        <c:axId val="58538624"/>
        <c:axId val="58553088"/>
      </c:lineChart>
      <c:catAx>
        <c:axId val="5853862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Dot"/>
            </a:ln>
          </c:spPr>
        </c:majorGridlines>
        <c:numFmt formatCode="General" sourceLinked="0"/>
        <c:tickLblPos val="low"/>
        <c:spPr>
          <a:ln w="9525">
            <a:noFill/>
          </a:ln>
        </c:spPr>
        <c:crossAx val="58553088"/>
        <c:crosses val="autoZero"/>
        <c:auto val="1"/>
        <c:lblAlgn val="ctr"/>
        <c:lblOffset val="100"/>
      </c:catAx>
      <c:valAx>
        <c:axId val="58553088"/>
        <c:scaling>
          <c:orientation val="minMax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numFmt formatCode="General" sourceLinked="0"/>
        <c:tickLblPos val="nextTo"/>
        <c:spPr>
          <a:ln w="9525">
            <a:noFill/>
          </a:ln>
        </c:spPr>
        <c:crossAx val="58538624"/>
        <c:crosses val="autoZero"/>
        <c:crossBetween val="between"/>
      </c:valAx>
      <c:spPr>
        <a:ln w="3175">
          <a:noFill/>
          <a:prstDash val="sysDash"/>
        </a:ln>
      </c:spPr>
    </c:plotArea>
    <c:legend>
      <c:legendPos val="t"/>
      <c:layout>
        <c:manualLayout>
          <c:xMode val="edge"/>
          <c:yMode val="edge"/>
          <c:x val="0.28539935894017765"/>
          <c:y val="0"/>
          <c:w val="0.42920104512895252"/>
          <c:h val="7.2694298629338114E-2"/>
        </c:manualLayout>
      </c:layout>
      <c:txPr>
        <a:bodyPr/>
        <a:lstStyle/>
        <a:p>
          <a:pPr>
            <a:defRPr>
              <a:latin typeface="华文细黑" pitchFamily="2" charset="-122"/>
              <a:ea typeface="华文细黑" pitchFamily="2" charset="-122"/>
            </a:defRPr>
          </a:pPr>
          <a:endParaRPr lang="zh-CN"/>
        </a:p>
      </c:txPr>
    </c:legend>
    <c:plotVisOnly val="1"/>
  </c:chart>
  <c:spPr>
    <a:ln w="9525">
      <a:noFill/>
    </a:ln>
  </c:spPr>
  <c:txPr>
    <a:bodyPr/>
    <a:lstStyle/>
    <a:p>
      <a:pPr>
        <a:defRPr sz="900">
          <a:solidFill>
            <a:srgbClr val="003366"/>
          </a:solidFill>
          <a:latin typeface="tw cen mt"/>
          <a:ea typeface="tw cen mt"/>
          <a:cs typeface="tw cen mt"/>
        </a:defRPr>
      </a:pPr>
      <a:endParaRPr lang="zh-CN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plotArea>
      <c:layout>
        <c:manualLayout>
          <c:layoutTarget val="inner"/>
          <c:xMode val="edge"/>
          <c:yMode val="edge"/>
          <c:x val="5.6879899041965096E-2"/>
          <c:y val="5.1400554097404488E-2"/>
          <c:w val="0.9289762594574098"/>
          <c:h val="0.87250364537766056"/>
        </c:manualLayout>
      </c:layout>
      <c:lineChart>
        <c:grouping val="standard"/>
        <c:ser>
          <c:idx val="0"/>
          <c:order val="0"/>
          <c:tx>
            <c:strRef>
              <c:f>欧式定价!$I$3</c:f>
              <c:strCache>
                <c:ptCount val="1"/>
                <c:pt idx="0">
                  <c:v>Put 价格</c:v>
                </c:pt>
              </c:strCache>
            </c:strRef>
          </c:tx>
          <c:cat>
            <c:numRef>
              <c:f>欧式定价!$E$5:$E$20</c:f>
              <c:numCache>
                <c:formatCode>0.00</c:formatCode>
                <c:ptCount val="16"/>
                <c:pt idx="0">
                  <c:v>2365</c:v>
                </c:pt>
                <c:pt idx="1">
                  <c:v>2370</c:v>
                </c:pt>
                <c:pt idx="2">
                  <c:v>2375</c:v>
                </c:pt>
                <c:pt idx="3">
                  <c:v>2380</c:v>
                </c:pt>
                <c:pt idx="4">
                  <c:v>2385</c:v>
                </c:pt>
                <c:pt idx="5">
                  <c:v>2390</c:v>
                </c:pt>
                <c:pt idx="6">
                  <c:v>2395</c:v>
                </c:pt>
                <c:pt idx="7">
                  <c:v>2400</c:v>
                </c:pt>
                <c:pt idx="8">
                  <c:v>2405</c:v>
                </c:pt>
                <c:pt idx="9">
                  <c:v>2410</c:v>
                </c:pt>
                <c:pt idx="10">
                  <c:v>2415</c:v>
                </c:pt>
                <c:pt idx="11">
                  <c:v>2420</c:v>
                </c:pt>
                <c:pt idx="12">
                  <c:v>2425</c:v>
                </c:pt>
                <c:pt idx="13">
                  <c:v>2430</c:v>
                </c:pt>
                <c:pt idx="14">
                  <c:v>2435</c:v>
                </c:pt>
                <c:pt idx="15">
                  <c:v>2440</c:v>
                </c:pt>
              </c:numCache>
            </c:numRef>
          </c:cat>
          <c:val>
            <c:numRef>
              <c:f>欧式定价!$I$5:$I$20</c:f>
              <c:numCache>
                <c:formatCode>0.0000_ 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ser>
          <c:idx val="1"/>
          <c:order val="1"/>
          <c:tx>
            <c:strRef>
              <c:f>欧式定价!$J$3</c:f>
              <c:strCache>
                <c:ptCount val="1"/>
                <c:pt idx="0">
                  <c:v>内蕴价值</c:v>
                </c:pt>
              </c:strCache>
            </c:strRef>
          </c:tx>
          <c:cat>
            <c:numRef>
              <c:f>欧式定价!$E$5:$E$20</c:f>
              <c:numCache>
                <c:formatCode>0.00</c:formatCode>
                <c:ptCount val="16"/>
                <c:pt idx="0">
                  <c:v>2365</c:v>
                </c:pt>
                <c:pt idx="1">
                  <c:v>2370</c:v>
                </c:pt>
                <c:pt idx="2">
                  <c:v>2375</c:v>
                </c:pt>
                <c:pt idx="3">
                  <c:v>2380</c:v>
                </c:pt>
                <c:pt idx="4">
                  <c:v>2385</c:v>
                </c:pt>
                <c:pt idx="5">
                  <c:v>2390</c:v>
                </c:pt>
                <c:pt idx="6">
                  <c:v>2395</c:v>
                </c:pt>
                <c:pt idx="7">
                  <c:v>2400</c:v>
                </c:pt>
                <c:pt idx="8">
                  <c:v>2405</c:v>
                </c:pt>
                <c:pt idx="9">
                  <c:v>2410</c:v>
                </c:pt>
                <c:pt idx="10">
                  <c:v>2415</c:v>
                </c:pt>
                <c:pt idx="11">
                  <c:v>2420</c:v>
                </c:pt>
                <c:pt idx="12">
                  <c:v>2425</c:v>
                </c:pt>
                <c:pt idx="13">
                  <c:v>2430</c:v>
                </c:pt>
                <c:pt idx="14">
                  <c:v>2435</c:v>
                </c:pt>
                <c:pt idx="15">
                  <c:v>2440</c:v>
                </c:pt>
              </c:numCache>
            </c:numRef>
          </c:cat>
          <c:val>
            <c:numRef>
              <c:f>欧式定价!$J$5:$J$20</c:f>
              <c:numCache>
                <c:formatCode>0.0000_ </c:formatCode>
                <c:ptCount val="16"/>
                <c:pt idx="0">
                  <c:v>35</c:v>
                </c:pt>
                <c:pt idx="1">
                  <c:v>30</c:v>
                </c:pt>
                <c:pt idx="2">
                  <c:v>25</c:v>
                </c:pt>
                <c:pt idx="3">
                  <c:v>20</c:v>
                </c:pt>
                <c:pt idx="4">
                  <c:v>15</c:v>
                </c:pt>
                <c:pt idx="5">
                  <c:v>10</c:v>
                </c:pt>
                <c:pt idx="6">
                  <c:v>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marker val="1"/>
        <c:axId val="59781888"/>
        <c:axId val="59783424"/>
      </c:lineChart>
      <c:catAx>
        <c:axId val="59781888"/>
        <c:scaling>
          <c:orientation val="minMax"/>
        </c:scaling>
        <c:axPos val="b"/>
        <c:numFmt formatCode="General" sourceLinked="0"/>
        <c:tickLblPos val="low"/>
        <c:spPr>
          <a:ln w="9525">
            <a:noFill/>
          </a:ln>
        </c:spPr>
        <c:crossAx val="59783424"/>
        <c:crosses val="autoZero"/>
        <c:auto val="1"/>
        <c:lblAlgn val="ctr"/>
        <c:lblOffset val="100"/>
      </c:catAx>
      <c:valAx>
        <c:axId val="59783424"/>
        <c:scaling>
          <c:orientation val="minMax"/>
        </c:scaling>
        <c:axPos val="l"/>
        <c:numFmt formatCode="General" sourceLinked="0"/>
        <c:tickLblPos val="nextTo"/>
        <c:spPr>
          <a:ln w="9525">
            <a:noFill/>
          </a:ln>
        </c:spPr>
        <c:crossAx val="59781888"/>
        <c:crosses val="autoZero"/>
        <c:crossBetween val="between"/>
      </c:valAx>
      <c:spPr>
        <a:ln w="3175">
          <a:noFill/>
          <a:prstDash val="sysDash"/>
        </a:ln>
      </c:spPr>
    </c:plotArea>
    <c:legend>
      <c:legendPos val="t"/>
      <c:layout>
        <c:manualLayout>
          <c:xMode val="edge"/>
          <c:yMode val="edge"/>
          <c:x val="0.29166586682308082"/>
          <c:y val="0"/>
          <c:w val="0.41666826635384102"/>
          <c:h val="7.2694298629338114E-2"/>
        </c:manualLayout>
      </c:layout>
    </c:legend>
    <c:plotVisOnly val="1"/>
  </c:chart>
  <c:spPr>
    <a:ln w="9525">
      <a:noFill/>
    </a:ln>
  </c:spPr>
  <c:txPr>
    <a:bodyPr/>
    <a:lstStyle/>
    <a:p>
      <a:pPr>
        <a:defRPr sz="900">
          <a:solidFill>
            <a:srgbClr val="003366"/>
          </a:solidFill>
          <a:latin typeface="tw cen mt"/>
          <a:ea typeface="tw cen mt"/>
          <a:cs typeface="tw cen mt"/>
        </a:defRPr>
      </a:pPr>
      <a:endParaRPr lang="zh-CN"/>
    </a:p>
  </c:tx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zh-CN" altLang="en-US"/>
              <a:t>隐含波动率</a:t>
            </a:r>
            <a:endParaRPr lang="en-US" altLang="zh-CN"/>
          </a:p>
        </c:rich>
      </c:tx>
      <c:layout>
        <c:manualLayout>
          <c:xMode val="edge"/>
          <c:yMode val="edge"/>
          <c:x val="0.43073532920684382"/>
          <c:y val="3.826546434170976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295236867403591"/>
          <c:y val="0.19387791326638967"/>
          <c:w val="0.76299453753831636"/>
          <c:h val="0.60204194119563104"/>
        </c:manualLayout>
      </c:layout>
      <c:scatterChart>
        <c:scatterStyle val="lineMarker"/>
        <c:ser>
          <c:idx val="0"/>
          <c:order val="0"/>
          <c:tx>
            <c:strRef>
              <c:f>隐含波动率!$B$11</c:f>
              <c:strCache>
                <c:ptCount val="1"/>
                <c:pt idx="0">
                  <c:v>隐含波动率（IV）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隐含波动率!$E$4:$E$15</c:f>
              <c:numCache>
                <c:formatCode>General</c:formatCode>
                <c:ptCount val="12"/>
                <c:pt idx="0">
                  <c:v>20.5</c:v>
                </c:pt>
                <c:pt idx="1">
                  <c:v>22.5</c:v>
                </c:pt>
                <c:pt idx="2">
                  <c:v>24.5</c:v>
                </c:pt>
                <c:pt idx="3">
                  <c:v>26.5</c:v>
                </c:pt>
                <c:pt idx="4">
                  <c:v>28.5</c:v>
                </c:pt>
                <c:pt idx="5">
                  <c:v>30.5</c:v>
                </c:pt>
                <c:pt idx="6">
                  <c:v>32.5</c:v>
                </c:pt>
                <c:pt idx="7">
                  <c:v>34.5</c:v>
                </c:pt>
                <c:pt idx="8">
                  <c:v>36.5</c:v>
                </c:pt>
                <c:pt idx="9">
                  <c:v>38.5</c:v>
                </c:pt>
                <c:pt idx="10">
                  <c:v>40.5</c:v>
                </c:pt>
                <c:pt idx="11">
                  <c:v>42.5</c:v>
                </c:pt>
              </c:numCache>
            </c:numRef>
          </c:xVal>
          <c:yVal>
            <c:numRef>
              <c:f>隐含波动率!$F$4:$F$15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yVal>
        </c:ser>
        <c:axId val="59803520"/>
        <c:axId val="59826944"/>
      </c:scatterChart>
      <c:valAx>
        <c:axId val="59803520"/>
        <c:scaling>
          <c:orientation val="minMax"/>
          <c:max val="50"/>
          <c:min val="5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altLang="en-US"/>
                  <a:t>Call price</a:t>
                </a:r>
              </a:p>
            </c:rich>
          </c:tx>
          <c:layout>
            <c:manualLayout>
              <c:xMode val="edge"/>
              <c:yMode val="edge"/>
              <c:x val="0.48232902799832117"/>
              <c:y val="0.8750016738979056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59826944"/>
        <c:crosses val="autoZero"/>
        <c:crossBetween val="midCat"/>
      </c:valAx>
      <c:valAx>
        <c:axId val="59826944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altLang="zh-CN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Volatility, </a:t>
                </a:r>
                <a:r>
                  <a:rPr lang="en-US" altLang="zh-CN" sz="1000" b="1" i="0" u="none" strike="noStrike" baseline="0">
                    <a:solidFill>
                      <a:srgbClr val="000000"/>
                    </a:solidFill>
                    <a:latin typeface="Symbol"/>
                  </a:rPr>
                  <a:t>s</a:t>
                </a:r>
              </a:p>
            </c:rich>
          </c:tx>
          <c:layout>
            <c:manualLayout>
              <c:xMode val="edge"/>
              <c:yMode val="edge"/>
              <c:x val="4.1580041580041575E-2"/>
              <c:y val="0.37500066955916561"/>
            </c:manualLayout>
          </c:layout>
          <c:spPr>
            <a:noFill/>
            <a:ln w="25400">
              <a:noFill/>
            </a:ln>
          </c:spPr>
        </c:title>
        <c:numFmt formatCode="0%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5980352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股票与期权组合</a:t>
            </a:r>
          </a:p>
        </c:rich>
      </c:tx>
      <c:layout>
        <c:manualLayout>
          <c:xMode val="edge"/>
          <c:yMode val="edge"/>
          <c:x val="0.44331712343063712"/>
          <c:y val="2.230483271375482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754809702190509E-2"/>
          <c:y val="0.12639405204460966"/>
          <c:w val="0.82741253472089948"/>
          <c:h val="0.67286245353160279"/>
        </c:manualLayout>
      </c:layout>
      <c:scatterChart>
        <c:scatterStyle val="lineMarker"/>
        <c:ser>
          <c:idx val="0"/>
          <c:order val="0"/>
          <c:tx>
            <c:strRef>
              <c:f>股票期权与股票等比率组合!$A$14</c:f>
              <c:strCache>
                <c:ptCount val="1"/>
                <c:pt idx="0">
                  <c:v>股票盈亏</c:v>
                </c:pt>
              </c:strCache>
            </c:strRef>
          </c:tx>
          <c:spPr>
            <a:ln w="254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股票期权与股票等比率组合!$B$13:$F$13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4600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股票期权与股票等比率组合!$B$14:$F$14</c:f>
              <c:numCache>
                <c:formatCode>0.0_ </c:formatCode>
                <c:ptCount val="5"/>
                <c:pt idx="0">
                  <c:v>2300</c:v>
                </c:pt>
                <c:pt idx="1">
                  <c:v>0</c:v>
                </c:pt>
                <c:pt idx="2">
                  <c:v>-2300</c:v>
                </c:pt>
              </c:numCache>
            </c:numRef>
          </c:yVal>
        </c:ser>
        <c:ser>
          <c:idx val="1"/>
          <c:order val="1"/>
          <c:tx>
            <c:strRef>
              <c:f>股票期权与股票等比率组合!$A$15</c:f>
              <c:strCache>
                <c:ptCount val="1"/>
                <c:pt idx="0">
                  <c:v>期权盈亏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股票期权与股票等比率组合!$B$13:$F$13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4600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股票期权与股票等比率组合!$B$15:$F$15</c:f>
              <c:numCache>
                <c:formatCode>0.0_ </c:formatCode>
                <c:ptCount val="5"/>
                <c:pt idx="0">
                  <c:v>-37</c:v>
                </c:pt>
                <c:pt idx="1">
                  <c:v>-37</c:v>
                </c:pt>
                <c:pt idx="2">
                  <c:v>2263</c:v>
                </c:pt>
              </c:numCache>
            </c:numRef>
          </c:yVal>
        </c:ser>
        <c:ser>
          <c:idx val="2"/>
          <c:order val="2"/>
          <c:tx>
            <c:strRef>
              <c:f>股票期权与股票等比率组合!$A$16</c:f>
              <c:strCache>
                <c:ptCount val="1"/>
                <c:pt idx="0">
                  <c:v>组合的总盈亏</c:v>
                </c:pt>
              </c:strCache>
            </c:strRef>
          </c:tx>
          <c:spPr>
            <a:ln w="381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股票期权与股票等比率组合!$B$13:$F$13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4600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股票期权与股票等比率组合!$B$16:$F$16</c:f>
              <c:numCache>
                <c:formatCode>0.0_ </c:formatCode>
                <c:ptCount val="5"/>
                <c:pt idx="0">
                  <c:v>2263</c:v>
                </c:pt>
                <c:pt idx="1">
                  <c:v>-37</c:v>
                </c:pt>
                <c:pt idx="2">
                  <c:v>-37</c:v>
                </c:pt>
              </c:numCache>
            </c:numRef>
          </c:yVal>
        </c:ser>
        <c:ser>
          <c:idx val="3"/>
          <c:order val="3"/>
          <c:tx>
            <c:strRef>
              <c:f>股票期权与股票等比率组合!$A$17</c:f>
              <c:strCache>
                <c:ptCount val="1"/>
                <c:pt idx="0">
                  <c:v>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股票期权与股票等比率组合!$B$13:$F$13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4600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股票期权与股票等比率组合!$B$17:$F$17</c:f>
              <c:numCache>
                <c:formatCode>0.0_ </c:formatCode>
                <c:ptCount val="5"/>
                <c:pt idx="3">
                  <c:v>2300</c:v>
                </c:pt>
                <c:pt idx="4">
                  <c:v>-2300</c:v>
                </c:pt>
              </c:numCache>
            </c:numRef>
          </c:yVal>
        </c:ser>
        <c:axId val="69787008"/>
        <c:axId val="59835904"/>
      </c:scatterChart>
      <c:valAx>
        <c:axId val="69787008"/>
        <c:scaling>
          <c:orientation val="minMax"/>
          <c:max val="2400"/>
          <c:min val="2200"/>
        </c:scaling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期权到期时的股价</a:t>
                </a:r>
              </a:p>
            </c:rich>
          </c:tx>
          <c:layout>
            <c:manualLayout>
              <c:xMode val="edge"/>
              <c:yMode val="edge"/>
              <c:x val="0.42978074441202468"/>
              <c:y val="0.88847583643122674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59835904"/>
        <c:crosses val="autoZero"/>
        <c:crossBetween val="midCat"/>
        <c:majorUnit val="100"/>
      </c:valAx>
      <c:valAx>
        <c:axId val="59835904"/>
        <c:scaling>
          <c:orientation val="minMax"/>
          <c:max val="50"/>
          <c:min val="-50"/>
        </c:scaling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盈亏</a:t>
                </a:r>
              </a:p>
            </c:rich>
          </c:tx>
          <c:layout>
            <c:manualLayout>
              <c:xMode val="edge"/>
              <c:yMode val="edge"/>
              <c:x val="8.4602368866328846E-3"/>
              <c:y val="0.41263940520446296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69787008"/>
        <c:crossesAt val="2100"/>
        <c:crossBetween val="midCat"/>
        <c:majorUnit val="20"/>
        <c:minorUnit val="1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4.6250183194105794E-2"/>
          <c:y val="0.86369268897149964"/>
          <c:w val="0.37732727571490576"/>
          <c:h val="0.12639405204460963"/>
        </c:manualLayout>
      </c:layout>
      <c:spPr>
        <a:noFill/>
        <a:ln w="25400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322" r="0.75000000000000322" t="1" header="0.5" footer="0.5"/>
    <c:pageSetup paperSize="9" orientation="landscape" horizontalDpi="300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差价组合</a:t>
            </a:r>
          </a:p>
        </c:rich>
      </c:tx>
      <c:layout>
        <c:manualLayout>
          <c:xMode val="edge"/>
          <c:yMode val="edge"/>
          <c:x val="0.47004022632989945"/>
          <c:y val="1.66112956810631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8535350350153136E-2"/>
          <c:y val="0.12624605197202787"/>
          <c:w val="0.85219762464996263"/>
          <c:h val="0.5980076146043376"/>
        </c:manualLayout>
      </c:layout>
      <c:scatterChart>
        <c:scatterStyle val="lineMarker"/>
        <c:ser>
          <c:idx val="0"/>
          <c:order val="0"/>
          <c:tx>
            <c:strRef>
              <c:f>'差价组合(bull&amp;bear spreads)'!$A$14</c:f>
              <c:strCache>
                <c:ptCount val="1"/>
                <c:pt idx="0">
                  <c:v>低协议价格的期权盈亏</c:v>
                </c:pt>
              </c:strCache>
            </c:strRef>
          </c:tx>
          <c:spPr>
            <a:ln w="254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'差价组合(bull&amp;bear spreads)'!$B$13:$I$13</c:f>
              <c:numCache>
                <c:formatCode>0.0_ </c:formatCode>
                <c:ptCount val="8"/>
                <c:pt idx="0">
                  <c:v>0</c:v>
                </c:pt>
                <c:pt idx="1">
                  <c:v>2300</c:v>
                </c:pt>
                <c:pt idx="2">
                  <c:v>2350</c:v>
                </c:pt>
                <c:pt idx="3">
                  <c:v>4700</c:v>
                </c:pt>
                <c:pt idx="4">
                  <c:v>2300</c:v>
                </c:pt>
                <c:pt idx="5">
                  <c:v>2300</c:v>
                </c:pt>
                <c:pt idx="6">
                  <c:v>2350</c:v>
                </c:pt>
                <c:pt idx="7">
                  <c:v>2350</c:v>
                </c:pt>
              </c:numCache>
            </c:numRef>
          </c:xVal>
          <c:yVal>
            <c:numRef>
              <c:f>'差价组合(bull&amp;bear spreads)'!$B$14:$I$14</c:f>
              <c:numCache>
                <c:formatCode>0.0_ </c:formatCode>
                <c:ptCount val="8"/>
                <c:pt idx="0">
                  <c:v>-37</c:v>
                </c:pt>
                <c:pt idx="1">
                  <c:v>-37</c:v>
                </c:pt>
                <c:pt idx="2">
                  <c:v>13</c:v>
                </c:pt>
                <c:pt idx="3">
                  <c:v>2363</c:v>
                </c:pt>
              </c:numCache>
            </c:numRef>
          </c:yVal>
        </c:ser>
        <c:ser>
          <c:idx val="1"/>
          <c:order val="1"/>
          <c:tx>
            <c:strRef>
              <c:f>'差价组合(bull&amp;bear spreads)'!$A$15</c:f>
              <c:strCache>
                <c:ptCount val="1"/>
                <c:pt idx="0">
                  <c:v>高协议价格的期权盈亏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'差价组合(bull&amp;bear spreads)'!$B$13:$I$13</c:f>
              <c:numCache>
                <c:formatCode>0.0_ </c:formatCode>
                <c:ptCount val="8"/>
                <c:pt idx="0">
                  <c:v>0</c:v>
                </c:pt>
                <c:pt idx="1">
                  <c:v>2300</c:v>
                </c:pt>
                <c:pt idx="2">
                  <c:v>2350</c:v>
                </c:pt>
                <c:pt idx="3">
                  <c:v>4700</c:v>
                </c:pt>
                <c:pt idx="4">
                  <c:v>2300</c:v>
                </c:pt>
                <c:pt idx="5">
                  <c:v>2300</c:v>
                </c:pt>
                <c:pt idx="6">
                  <c:v>2350</c:v>
                </c:pt>
                <c:pt idx="7">
                  <c:v>2350</c:v>
                </c:pt>
              </c:numCache>
            </c:numRef>
          </c:xVal>
          <c:yVal>
            <c:numRef>
              <c:f>'差价组合(bull&amp;bear spreads)'!$B$15:$I$15</c:f>
              <c:numCache>
                <c:formatCode>0.0_ </c:formatCode>
                <c:ptCount val="8"/>
                <c:pt idx="0">
                  <c:v>34</c:v>
                </c:pt>
                <c:pt idx="1">
                  <c:v>34</c:v>
                </c:pt>
                <c:pt idx="2">
                  <c:v>34</c:v>
                </c:pt>
                <c:pt idx="3">
                  <c:v>-2316</c:v>
                </c:pt>
              </c:numCache>
            </c:numRef>
          </c:yVal>
        </c:ser>
        <c:ser>
          <c:idx val="2"/>
          <c:order val="2"/>
          <c:tx>
            <c:strRef>
              <c:f>'差价组合(bull&amp;bear spreads)'!$A$16</c:f>
              <c:strCache>
                <c:ptCount val="1"/>
                <c:pt idx="0">
                  <c:v>组合的总盈亏</c:v>
                </c:pt>
              </c:strCache>
            </c:strRef>
          </c:tx>
          <c:spPr>
            <a:ln w="381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'差价组合(bull&amp;bear spreads)'!$B$13:$I$13</c:f>
              <c:numCache>
                <c:formatCode>0.0_ </c:formatCode>
                <c:ptCount val="8"/>
                <c:pt idx="0">
                  <c:v>0</c:v>
                </c:pt>
                <c:pt idx="1">
                  <c:v>2300</c:v>
                </c:pt>
                <c:pt idx="2">
                  <c:v>2350</c:v>
                </c:pt>
                <c:pt idx="3">
                  <c:v>4700</c:v>
                </c:pt>
                <c:pt idx="4">
                  <c:v>2300</c:v>
                </c:pt>
                <c:pt idx="5">
                  <c:v>2300</c:v>
                </c:pt>
                <c:pt idx="6">
                  <c:v>2350</c:v>
                </c:pt>
                <c:pt idx="7">
                  <c:v>2350</c:v>
                </c:pt>
              </c:numCache>
            </c:numRef>
          </c:xVal>
          <c:yVal>
            <c:numRef>
              <c:f>'差价组合(bull&amp;bear spreads)'!$B$16:$I$16</c:f>
              <c:numCache>
                <c:formatCode>0.0_ </c:formatCode>
                <c:ptCount val="8"/>
                <c:pt idx="0">
                  <c:v>-3</c:v>
                </c:pt>
                <c:pt idx="1">
                  <c:v>-3</c:v>
                </c:pt>
                <c:pt idx="2">
                  <c:v>47</c:v>
                </c:pt>
                <c:pt idx="3">
                  <c:v>47</c:v>
                </c:pt>
              </c:numCache>
            </c:numRef>
          </c:yVal>
        </c:ser>
        <c:ser>
          <c:idx val="3"/>
          <c:order val="3"/>
          <c:tx>
            <c:strRef>
              <c:f>'差价组合(bull&amp;bear spreads)'!$A$17</c:f>
              <c:strCache>
                <c:ptCount val="1"/>
                <c:pt idx="0">
                  <c:v>低协议价格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'差价组合(bull&amp;bear spreads)'!$B$13:$I$13</c:f>
              <c:numCache>
                <c:formatCode>0.0_ </c:formatCode>
                <c:ptCount val="8"/>
                <c:pt idx="0">
                  <c:v>0</c:v>
                </c:pt>
                <c:pt idx="1">
                  <c:v>2300</c:v>
                </c:pt>
                <c:pt idx="2">
                  <c:v>2350</c:v>
                </c:pt>
                <c:pt idx="3">
                  <c:v>4700</c:v>
                </c:pt>
                <c:pt idx="4">
                  <c:v>2300</c:v>
                </c:pt>
                <c:pt idx="5">
                  <c:v>2300</c:v>
                </c:pt>
                <c:pt idx="6">
                  <c:v>2350</c:v>
                </c:pt>
                <c:pt idx="7">
                  <c:v>2350</c:v>
                </c:pt>
              </c:numCache>
            </c:numRef>
          </c:xVal>
          <c:yVal>
            <c:numRef>
              <c:f>'差价组合(bull&amp;bear spreads)'!$B$17:$I$17</c:f>
              <c:numCache>
                <c:formatCode>0.0_ </c:formatCode>
                <c:ptCount val="8"/>
                <c:pt idx="4">
                  <c:v>40</c:v>
                </c:pt>
                <c:pt idx="5">
                  <c:v>-40</c:v>
                </c:pt>
              </c:numCache>
            </c:numRef>
          </c:yVal>
        </c:ser>
        <c:ser>
          <c:idx val="4"/>
          <c:order val="4"/>
          <c:tx>
            <c:strRef>
              <c:f>'差价组合(bull&amp;bear spreads)'!$A$18</c:f>
              <c:strCache>
                <c:ptCount val="1"/>
                <c:pt idx="0">
                  <c:v>高协议价格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Ref>
              <c:f>'差价组合(bull&amp;bear spreads)'!$B$13:$I$13</c:f>
              <c:numCache>
                <c:formatCode>0.0_ </c:formatCode>
                <c:ptCount val="8"/>
                <c:pt idx="0">
                  <c:v>0</c:v>
                </c:pt>
                <c:pt idx="1">
                  <c:v>2300</c:v>
                </c:pt>
                <c:pt idx="2">
                  <c:v>2350</c:v>
                </c:pt>
                <c:pt idx="3">
                  <c:v>4700</c:v>
                </c:pt>
                <c:pt idx="4">
                  <c:v>2300</c:v>
                </c:pt>
                <c:pt idx="5">
                  <c:v>2300</c:v>
                </c:pt>
                <c:pt idx="6">
                  <c:v>2350</c:v>
                </c:pt>
                <c:pt idx="7">
                  <c:v>2350</c:v>
                </c:pt>
              </c:numCache>
            </c:numRef>
          </c:xVal>
          <c:yVal>
            <c:numRef>
              <c:f>'差价组合(bull&amp;bear spreads)'!$B$18:$I$18</c:f>
              <c:numCache>
                <c:formatCode>0.0_ </c:formatCode>
                <c:ptCount val="8"/>
                <c:pt idx="6">
                  <c:v>45</c:v>
                </c:pt>
                <c:pt idx="7">
                  <c:v>-45</c:v>
                </c:pt>
              </c:numCache>
            </c:numRef>
          </c:yVal>
        </c:ser>
        <c:axId val="71124480"/>
        <c:axId val="71126400"/>
      </c:scatterChart>
      <c:valAx>
        <c:axId val="71124480"/>
        <c:scaling>
          <c:orientation val="minMax"/>
          <c:max val="2400"/>
          <c:min val="2200"/>
        </c:scaling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盈亏</a:t>
                </a:r>
              </a:p>
            </c:rich>
          </c:tx>
          <c:layout>
            <c:manualLayout>
              <c:xMode val="edge"/>
              <c:yMode val="edge"/>
              <c:x val="0.43000095894643758"/>
              <c:y val="0.76412099650334453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71126400"/>
        <c:crosses val="autoZero"/>
        <c:crossBetween val="midCat"/>
        <c:majorUnit val="50"/>
      </c:valAx>
      <c:valAx>
        <c:axId val="71126400"/>
        <c:scaling>
          <c:orientation val="minMax"/>
          <c:max val="80"/>
          <c:min val="-80"/>
        </c:scaling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期权到期时的股价</a:t>
                </a:r>
              </a:p>
            </c:rich>
          </c:tx>
          <c:layout>
            <c:manualLayout>
              <c:xMode val="edge"/>
              <c:yMode val="edge"/>
              <c:x val="1.9973368841544607E-2"/>
              <c:y val="0.27242559796304816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71124480"/>
        <c:crosses val="autoZero"/>
        <c:crossBetween val="midCat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8.3888149134488041E-2"/>
          <c:y val="0.85382199318109064"/>
          <c:w val="0.86151853521638688"/>
          <c:h val="0.1196016776972646"/>
        </c:manualLayout>
      </c:layout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322" r="0.75000000000000322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roundedCorners val="1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蝶式差价组合</a:t>
            </a:r>
          </a:p>
        </c:rich>
      </c:tx>
      <c:layout>
        <c:manualLayout>
          <c:xMode val="edge"/>
          <c:yMode val="edge"/>
          <c:x val="0.44805194805194803"/>
          <c:y val="2.521008403361344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805194805194823E-2"/>
          <c:y val="9.8039483870261845E-2"/>
          <c:w val="0.858441558441562"/>
          <c:h val="0.65546397787546451"/>
        </c:manualLayout>
      </c:layout>
      <c:scatterChart>
        <c:scatterStyle val="lineMarker"/>
        <c:ser>
          <c:idx val="0"/>
          <c:order val="0"/>
          <c:tx>
            <c:strRef>
              <c:f>'蝶式差价组合(butterfly spreads)'!$A$17</c:f>
              <c:strCache>
                <c:ptCount val="1"/>
                <c:pt idx="0">
                  <c:v>低协议价格的期权盈亏</c:v>
                </c:pt>
              </c:strCache>
            </c:strRef>
          </c:tx>
          <c:spPr>
            <a:ln w="254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'蝶式差价组合(butterfly spreads)'!$B$16:$L$16</c:f>
              <c:numCache>
                <c:formatCode>0.0_ </c:formatCode>
                <c:ptCount val="11"/>
                <c:pt idx="0">
                  <c:v>0</c:v>
                </c:pt>
                <c:pt idx="1">
                  <c:v>2200</c:v>
                </c:pt>
                <c:pt idx="2">
                  <c:v>2250</c:v>
                </c:pt>
                <c:pt idx="3">
                  <c:v>2300</c:v>
                </c:pt>
                <c:pt idx="4">
                  <c:v>2700</c:v>
                </c:pt>
                <c:pt idx="5">
                  <c:v>2200</c:v>
                </c:pt>
                <c:pt idx="6">
                  <c:v>2200</c:v>
                </c:pt>
                <c:pt idx="7">
                  <c:v>2250</c:v>
                </c:pt>
                <c:pt idx="8">
                  <c:v>2250</c:v>
                </c:pt>
                <c:pt idx="9">
                  <c:v>2300</c:v>
                </c:pt>
                <c:pt idx="10">
                  <c:v>2300</c:v>
                </c:pt>
              </c:numCache>
            </c:numRef>
          </c:xVal>
          <c:yVal>
            <c:numRef>
              <c:f>'蝶式差价组合(butterfly spreads)'!$B$17:$L$17</c:f>
              <c:numCache>
                <c:formatCode>0.0_ </c:formatCode>
                <c:ptCount val="11"/>
                <c:pt idx="0">
                  <c:v>45</c:v>
                </c:pt>
                <c:pt idx="1">
                  <c:v>45</c:v>
                </c:pt>
                <c:pt idx="2">
                  <c:v>-5</c:v>
                </c:pt>
                <c:pt idx="3">
                  <c:v>-55</c:v>
                </c:pt>
                <c:pt idx="4">
                  <c:v>-455</c:v>
                </c:pt>
              </c:numCache>
            </c:numRef>
          </c:yVal>
        </c:ser>
        <c:ser>
          <c:idx val="1"/>
          <c:order val="1"/>
          <c:tx>
            <c:strRef>
              <c:f>'蝶式差价组合(butterfly spreads)'!$A$18</c:f>
              <c:strCache>
                <c:ptCount val="1"/>
                <c:pt idx="0">
                  <c:v>中协议价格的期权盈亏</c:v>
                </c:pt>
              </c:strCache>
            </c:strRef>
          </c:tx>
          <c:spPr>
            <a:ln w="25400">
              <a:solidFill>
                <a:srgbClr val="800080"/>
              </a:solidFill>
              <a:prstDash val="solid"/>
            </a:ln>
          </c:spPr>
          <c:marker>
            <c:symbol val="none"/>
          </c:marker>
          <c:xVal>
            <c:numRef>
              <c:f>'蝶式差价组合(butterfly spreads)'!$B$16:$L$16</c:f>
              <c:numCache>
                <c:formatCode>0.0_ </c:formatCode>
                <c:ptCount val="11"/>
                <c:pt idx="0">
                  <c:v>0</c:v>
                </c:pt>
                <c:pt idx="1">
                  <c:v>2200</c:v>
                </c:pt>
                <c:pt idx="2">
                  <c:v>2250</c:v>
                </c:pt>
                <c:pt idx="3">
                  <c:v>2300</c:v>
                </c:pt>
                <c:pt idx="4">
                  <c:v>2700</c:v>
                </c:pt>
                <c:pt idx="5">
                  <c:v>2200</c:v>
                </c:pt>
                <c:pt idx="6">
                  <c:v>2200</c:v>
                </c:pt>
                <c:pt idx="7">
                  <c:v>2250</c:v>
                </c:pt>
                <c:pt idx="8">
                  <c:v>2250</c:v>
                </c:pt>
                <c:pt idx="9">
                  <c:v>2300</c:v>
                </c:pt>
                <c:pt idx="10">
                  <c:v>2300</c:v>
                </c:pt>
              </c:numCache>
            </c:numRef>
          </c:xVal>
          <c:yVal>
            <c:numRef>
              <c:f>'蝶式差价组合(butterfly spreads)'!$B$18:$L$18</c:f>
              <c:numCache>
                <c:formatCode>0.0_ </c:formatCode>
                <c:ptCount val="11"/>
                <c:pt idx="0">
                  <c:v>-80</c:v>
                </c:pt>
                <c:pt idx="1">
                  <c:v>-80</c:v>
                </c:pt>
                <c:pt idx="2">
                  <c:v>-80</c:v>
                </c:pt>
                <c:pt idx="3">
                  <c:v>20</c:v>
                </c:pt>
                <c:pt idx="4">
                  <c:v>820</c:v>
                </c:pt>
              </c:numCache>
            </c:numRef>
          </c:yVal>
        </c:ser>
        <c:ser>
          <c:idx val="2"/>
          <c:order val="2"/>
          <c:tx>
            <c:strRef>
              <c:f>'蝶式差价组合(butterfly spreads)'!$A$19</c:f>
              <c:strCache>
                <c:ptCount val="1"/>
                <c:pt idx="0">
                  <c:v>高协议价格的期权盈亏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'蝶式差价组合(butterfly spreads)'!$B$16:$L$16</c:f>
              <c:numCache>
                <c:formatCode>0.0_ </c:formatCode>
                <c:ptCount val="11"/>
                <c:pt idx="0">
                  <c:v>0</c:v>
                </c:pt>
                <c:pt idx="1">
                  <c:v>2200</c:v>
                </c:pt>
                <c:pt idx="2">
                  <c:v>2250</c:v>
                </c:pt>
                <c:pt idx="3">
                  <c:v>2300</c:v>
                </c:pt>
                <c:pt idx="4">
                  <c:v>2700</c:v>
                </c:pt>
                <c:pt idx="5">
                  <c:v>2200</c:v>
                </c:pt>
                <c:pt idx="6">
                  <c:v>2200</c:v>
                </c:pt>
                <c:pt idx="7">
                  <c:v>2250</c:v>
                </c:pt>
                <c:pt idx="8">
                  <c:v>2250</c:v>
                </c:pt>
                <c:pt idx="9">
                  <c:v>2300</c:v>
                </c:pt>
                <c:pt idx="10">
                  <c:v>2300</c:v>
                </c:pt>
              </c:numCache>
            </c:numRef>
          </c:xVal>
          <c:yVal>
            <c:numRef>
              <c:f>'蝶式差价组合(butterfly spreads)'!$B$19:$L$19</c:f>
              <c:numCache>
                <c:formatCode>0.0_ </c:formatCode>
                <c:ptCount val="11"/>
                <c:pt idx="0">
                  <c:v>37</c:v>
                </c:pt>
                <c:pt idx="1">
                  <c:v>37</c:v>
                </c:pt>
                <c:pt idx="2">
                  <c:v>37</c:v>
                </c:pt>
                <c:pt idx="3">
                  <c:v>37</c:v>
                </c:pt>
                <c:pt idx="4">
                  <c:v>-363</c:v>
                </c:pt>
              </c:numCache>
            </c:numRef>
          </c:yVal>
        </c:ser>
        <c:ser>
          <c:idx val="3"/>
          <c:order val="3"/>
          <c:tx>
            <c:strRef>
              <c:f>'蝶式差价组合(butterfly spreads)'!$A$20</c:f>
              <c:strCache>
                <c:ptCount val="1"/>
                <c:pt idx="0">
                  <c:v>组合的总盈亏</c:v>
                </c:pt>
              </c:strCache>
            </c:strRef>
          </c:tx>
          <c:spPr>
            <a:ln w="381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'蝶式差价组合(butterfly spreads)'!$B$16:$L$16</c:f>
              <c:numCache>
                <c:formatCode>0.0_ </c:formatCode>
                <c:ptCount val="11"/>
                <c:pt idx="0">
                  <c:v>0</c:v>
                </c:pt>
                <c:pt idx="1">
                  <c:v>2200</c:v>
                </c:pt>
                <c:pt idx="2">
                  <c:v>2250</c:v>
                </c:pt>
                <c:pt idx="3">
                  <c:v>2300</c:v>
                </c:pt>
                <c:pt idx="4">
                  <c:v>2700</c:v>
                </c:pt>
                <c:pt idx="5">
                  <c:v>2200</c:v>
                </c:pt>
                <c:pt idx="6">
                  <c:v>2200</c:v>
                </c:pt>
                <c:pt idx="7">
                  <c:v>2250</c:v>
                </c:pt>
                <c:pt idx="8">
                  <c:v>2250</c:v>
                </c:pt>
                <c:pt idx="9">
                  <c:v>2300</c:v>
                </c:pt>
                <c:pt idx="10">
                  <c:v>2300</c:v>
                </c:pt>
              </c:numCache>
            </c:numRef>
          </c:xVal>
          <c:yVal>
            <c:numRef>
              <c:f>'蝶式差价组合(butterfly spreads)'!$B$20:$L$20</c:f>
              <c:numCache>
                <c:formatCode>0.0_ </c:formatCode>
                <c:ptCount val="11"/>
                <c:pt idx="0">
                  <c:v>2</c:v>
                </c:pt>
                <c:pt idx="1">
                  <c:v>2</c:v>
                </c:pt>
                <c:pt idx="2">
                  <c:v>-48</c:v>
                </c:pt>
                <c:pt idx="3">
                  <c:v>2</c:v>
                </c:pt>
                <c:pt idx="4">
                  <c:v>2</c:v>
                </c:pt>
              </c:numCache>
            </c:numRef>
          </c:yVal>
        </c:ser>
        <c:ser>
          <c:idx val="4"/>
          <c:order val="4"/>
          <c:tx>
            <c:strRef>
              <c:f>'蝶式差价组合(butterfly spreads)'!$A$21</c:f>
              <c:strCache>
                <c:ptCount val="1"/>
                <c:pt idx="0">
                  <c:v>中协议价格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'蝶式差价组合(butterfly spreads)'!$B$16:$L$16</c:f>
              <c:numCache>
                <c:formatCode>0.0_ </c:formatCode>
                <c:ptCount val="11"/>
                <c:pt idx="0">
                  <c:v>0</c:v>
                </c:pt>
                <c:pt idx="1">
                  <c:v>2200</c:v>
                </c:pt>
                <c:pt idx="2">
                  <c:v>2250</c:v>
                </c:pt>
                <c:pt idx="3">
                  <c:v>2300</c:v>
                </c:pt>
                <c:pt idx="4">
                  <c:v>2700</c:v>
                </c:pt>
                <c:pt idx="5">
                  <c:v>2200</c:v>
                </c:pt>
                <c:pt idx="6">
                  <c:v>2200</c:v>
                </c:pt>
                <c:pt idx="7">
                  <c:v>2250</c:v>
                </c:pt>
                <c:pt idx="8">
                  <c:v>2250</c:v>
                </c:pt>
                <c:pt idx="9">
                  <c:v>2300</c:v>
                </c:pt>
                <c:pt idx="10">
                  <c:v>2300</c:v>
                </c:pt>
              </c:numCache>
            </c:numRef>
          </c:xVal>
          <c:yVal>
            <c:numRef>
              <c:f>'蝶式差价组合(butterfly spreads)'!$B$21:$L$21</c:f>
              <c:numCache>
                <c:formatCode>0.0_ </c:formatCode>
                <c:ptCount val="11"/>
                <c:pt idx="5">
                  <c:v>2250</c:v>
                </c:pt>
                <c:pt idx="6">
                  <c:v>-2250</c:v>
                </c:pt>
              </c:numCache>
            </c:numRef>
          </c:yVal>
        </c:ser>
        <c:ser>
          <c:idx val="5"/>
          <c:order val="5"/>
          <c:tx>
            <c:strRef>
              <c:f>'蝶式差价组合(butterfly spreads)'!$A$22</c:f>
              <c:strCache>
                <c:ptCount val="1"/>
                <c:pt idx="0">
                  <c:v>低协议价格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Ref>
              <c:f>'蝶式差价组合(butterfly spreads)'!$B$16:$L$16</c:f>
              <c:numCache>
                <c:formatCode>0.0_ </c:formatCode>
                <c:ptCount val="11"/>
                <c:pt idx="0">
                  <c:v>0</c:v>
                </c:pt>
                <c:pt idx="1">
                  <c:v>2200</c:v>
                </c:pt>
                <c:pt idx="2">
                  <c:v>2250</c:v>
                </c:pt>
                <c:pt idx="3">
                  <c:v>2300</c:v>
                </c:pt>
                <c:pt idx="4">
                  <c:v>2700</c:v>
                </c:pt>
                <c:pt idx="5">
                  <c:v>2200</c:v>
                </c:pt>
                <c:pt idx="6">
                  <c:v>2200</c:v>
                </c:pt>
                <c:pt idx="7">
                  <c:v>2250</c:v>
                </c:pt>
                <c:pt idx="8">
                  <c:v>2250</c:v>
                </c:pt>
                <c:pt idx="9">
                  <c:v>2300</c:v>
                </c:pt>
                <c:pt idx="10">
                  <c:v>2300</c:v>
                </c:pt>
              </c:numCache>
            </c:numRef>
          </c:xVal>
          <c:yVal>
            <c:numRef>
              <c:f>'蝶式差价组合(butterfly spreads)'!$B$22:$L$22</c:f>
              <c:numCache>
                <c:formatCode>0.0_ </c:formatCode>
                <c:ptCount val="11"/>
                <c:pt idx="7">
                  <c:v>2300</c:v>
                </c:pt>
                <c:pt idx="8">
                  <c:v>-2300</c:v>
                </c:pt>
              </c:numCache>
            </c:numRef>
          </c:yVal>
        </c:ser>
        <c:ser>
          <c:idx val="6"/>
          <c:order val="6"/>
          <c:tx>
            <c:strRef>
              <c:f>'蝶式差价组合(butterfly spreads)'!$A$23</c:f>
              <c:strCache>
                <c:ptCount val="1"/>
                <c:pt idx="0">
                  <c:v>高协议价格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Ref>
              <c:f>'蝶式差价组合(butterfly spreads)'!$B$16:$L$16</c:f>
              <c:numCache>
                <c:formatCode>0.0_ </c:formatCode>
                <c:ptCount val="11"/>
                <c:pt idx="0">
                  <c:v>0</c:v>
                </c:pt>
                <c:pt idx="1">
                  <c:v>2200</c:v>
                </c:pt>
                <c:pt idx="2">
                  <c:v>2250</c:v>
                </c:pt>
                <c:pt idx="3">
                  <c:v>2300</c:v>
                </c:pt>
                <c:pt idx="4">
                  <c:v>2700</c:v>
                </c:pt>
                <c:pt idx="5">
                  <c:v>2200</c:v>
                </c:pt>
                <c:pt idx="6">
                  <c:v>2200</c:v>
                </c:pt>
                <c:pt idx="7">
                  <c:v>2250</c:v>
                </c:pt>
                <c:pt idx="8">
                  <c:v>2250</c:v>
                </c:pt>
                <c:pt idx="9">
                  <c:v>2300</c:v>
                </c:pt>
                <c:pt idx="10">
                  <c:v>2300</c:v>
                </c:pt>
              </c:numCache>
            </c:numRef>
          </c:xVal>
          <c:yVal>
            <c:numRef>
              <c:f>'蝶式差价组合(butterfly spreads)'!$B$23:$L$23</c:f>
              <c:numCache>
                <c:formatCode>0.0_ </c:formatCode>
                <c:ptCount val="11"/>
                <c:pt idx="9">
                  <c:v>2200</c:v>
                </c:pt>
                <c:pt idx="10">
                  <c:v>-2200</c:v>
                </c:pt>
              </c:numCache>
            </c:numRef>
          </c:yVal>
        </c:ser>
        <c:axId val="91423488"/>
        <c:axId val="91425408"/>
      </c:scatterChart>
      <c:valAx>
        <c:axId val="91423488"/>
        <c:scaling>
          <c:orientation val="minMax"/>
          <c:max val="2500"/>
          <c:min val="2100"/>
        </c:scaling>
        <c:axPos val="b"/>
        <c:title>
          <c:tx>
            <c:rich>
              <a:bodyPr/>
              <a:lstStyle/>
              <a:p>
                <a:pPr>
                  <a:defRPr sz="975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期权到期时的股价</a:t>
                </a:r>
              </a:p>
            </c:rich>
          </c:tx>
          <c:layout>
            <c:manualLayout>
              <c:xMode val="edge"/>
              <c:yMode val="edge"/>
              <c:x val="0.45324675324675334"/>
              <c:y val="0.82353176441180143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91425408"/>
        <c:crossesAt val="-15"/>
        <c:crossBetween val="midCat"/>
      </c:valAx>
      <c:valAx>
        <c:axId val="91425408"/>
        <c:scaling>
          <c:orientation val="minMax"/>
          <c:max val="100"/>
          <c:min val="-100"/>
        </c:scaling>
        <c:axPos val="l"/>
        <c:title>
          <c:tx>
            <c:rich>
              <a:bodyPr/>
              <a:lstStyle/>
              <a:p>
                <a:pPr>
                  <a:defRPr sz="975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盈亏</a:t>
                </a:r>
              </a:p>
            </c:rich>
          </c:tx>
          <c:layout>
            <c:manualLayout>
              <c:xMode val="edge"/>
              <c:yMode val="edge"/>
              <c:x val="1.8181818181818282E-2"/>
              <c:y val="0.38375467772411087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91423488"/>
        <c:crosses val="autoZero"/>
        <c:crossBetween val="midCat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3116883116883121"/>
          <c:y val="0.89075865516810804"/>
          <c:w val="0.72727272727272729"/>
          <c:h val="9.2437268870802947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</c:chart>
  <c:spPr>
    <a:noFill/>
    <a:ln w="9525">
      <a:noFill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322" r="0.75000000000000322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差期组合</a:t>
            </a:r>
          </a:p>
        </c:rich>
      </c:tx>
      <c:layout>
        <c:manualLayout>
          <c:xMode val="edge"/>
          <c:yMode val="edge"/>
          <c:x val="0.46473551637279575"/>
          <c:y val="3.59281437125748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5491183879093334E-2"/>
          <c:y val="0.11077860506322112"/>
          <c:w val="0.90428211586901408"/>
          <c:h val="0.7544921209711255"/>
        </c:manualLayout>
      </c:layout>
      <c:scatterChart>
        <c:scatterStyle val="smoothMarker"/>
        <c:ser>
          <c:idx val="0"/>
          <c:order val="0"/>
          <c:tx>
            <c:strRef>
              <c:f>'差期组合(calendar spreads)'!$A$19</c:f>
              <c:strCache>
                <c:ptCount val="1"/>
                <c:pt idx="0">
                  <c:v>期限短的期权盈亏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</a:ln>
          </c:spPr>
          <c:marker>
            <c:symbol val="none"/>
          </c:marker>
          <c:xVal>
            <c:numRef>
              <c:f>'差期组合(calendar spreads)'!$B$18:$J$18</c:f>
              <c:numCache>
                <c:formatCode>General</c:formatCode>
                <c:ptCount val="9"/>
                <c:pt idx="0">
                  <c:v>0</c:v>
                </c:pt>
                <c:pt idx="1">
                  <c:v>2100</c:v>
                </c:pt>
                <c:pt idx="2">
                  <c:v>2200</c:v>
                </c:pt>
                <c:pt idx="3">
                  <c:v>2300</c:v>
                </c:pt>
                <c:pt idx="4">
                  <c:v>2400</c:v>
                </c:pt>
                <c:pt idx="5">
                  <c:v>2500</c:v>
                </c:pt>
                <c:pt idx="6">
                  <c:v>2600</c:v>
                </c:pt>
                <c:pt idx="7">
                  <c:v>2300</c:v>
                </c:pt>
                <c:pt idx="8">
                  <c:v>2300</c:v>
                </c:pt>
              </c:numCache>
            </c:numRef>
          </c:xVal>
          <c:yVal>
            <c:numRef>
              <c:f>'差期组合(calendar spreads)'!$B$19:$J$19</c:f>
              <c:numCache>
                <c:formatCode>0.00_ </c:formatCode>
                <c:ptCount val="9"/>
                <c:pt idx="0">
                  <c:v>92</c:v>
                </c:pt>
                <c:pt idx="1">
                  <c:v>92</c:v>
                </c:pt>
                <c:pt idx="2">
                  <c:v>92</c:v>
                </c:pt>
                <c:pt idx="3">
                  <c:v>92</c:v>
                </c:pt>
                <c:pt idx="4">
                  <c:v>-8</c:v>
                </c:pt>
                <c:pt idx="5">
                  <c:v>-108</c:v>
                </c:pt>
                <c:pt idx="6">
                  <c:v>-208</c:v>
                </c:pt>
              </c:numCache>
            </c:numRef>
          </c:yVal>
        </c:ser>
        <c:ser>
          <c:idx val="2"/>
          <c:order val="1"/>
          <c:tx>
            <c:strRef>
              <c:f>'差期组合(calendar spreads)'!$A$21</c:f>
              <c:strCache>
                <c:ptCount val="1"/>
                <c:pt idx="0">
                  <c:v>期限长的期权盈亏</c:v>
                </c:pt>
              </c:strCache>
            </c:strRef>
          </c:tx>
          <c:spPr>
            <a:ln w="254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'差期组合(calendar spreads)'!$B$18:$J$18</c:f>
              <c:numCache>
                <c:formatCode>General</c:formatCode>
                <c:ptCount val="9"/>
                <c:pt idx="0">
                  <c:v>0</c:v>
                </c:pt>
                <c:pt idx="1">
                  <c:v>2100</c:v>
                </c:pt>
                <c:pt idx="2">
                  <c:v>2200</c:v>
                </c:pt>
                <c:pt idx="3">
                  <c:v>2300</c:v>
                </c:pt>
                <c:pt idx="4">
                  <c:v>2400</c:v>
                </c:pt>
                <c:pt idx="5">
                  <c:v>2500</c:v>
                </c:pt>
                <c:pt idx="6">
                  <c:v>2600</c:v>
                </c:pt>
                <c:pt idx="7">
                  <c:v>2300</c:v>
                </c:pt>
                <c:pt idx="8">
                  <c:v>2300</c:v>
                </c:pt>
              </c:numCache>
            </c:numRef>
          </c:xVal>
          <c:yVal>
            <c:numRef>
              <c:f>'差期组合(calendar spreads)'!$B$21:$J$21</c:f>
              <c:numCache>
                <c:formatCode>0.00_ </c:formatCode>
                <c:ptCount val="9"/>
                <c:pt idx="0">
                  <c:v>-130</c:v>
                </c:pt>
                <c:pt idx="1">
                  <c:v>-129.994</c:v>
                </c:pt>
                <c:pt idx="2">
                  <c:v>-129.51</c:v>
                </c:pt>
                <c:pt idx="3">
                  <c:v>-126</c:v>
                </c:pt>
                <c:pt idx="4">
                  <c:v>-118.41</c:v>
                </c:pt>
                <c:pt idx="5">
                  <c:v>-108.93</c:v>
                </c:pt>
                <c:pt idx="6">
                  <c:v>-79.009999999999991</c:v>
                </c:pt>
              </c:numCache>
            </c:numRef>
          </c:yVal>
          <c:smooth val="1"/>
        </c:ser>
        <c:ser>
          <c:idx val="3"/>
          <c:order val="2"/>
          <c:tx>
            <c:strRef>
              <c:f>'差期组合(calendar spreads)'!$A$22</c:f>
              <c:strCache>
                <c:ptCount val="1"/>
                <c:pt idx="0">
                  <c:v>组合的总盈亏</c:v>
                </c:pt>
              </c:strCache>
            </c:strRef>
          </c:tx>
          <c:spPr>
            <a:ln w="381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'差期组合(calendar spreads)'!$B$18:$J$18</c:f>
              <c:numCache>
                <c:formatCode>General</c:formatCode>
                <c:ptCount val="9"/>
                <c:pt idx="0">
                  <c:v>0</c:v>
                </c:pt>
                <c:pt idx="1">
                  <c:v>2100</c:v>
                </c:pt>
                <c:pt idx="2">
                  <c:v>2200</c:v>
                </c:pt>
                <c:pt idx="3">
                  <c:v>2300</c:v>
                </c:pt>
                <c:pt idx="4">
                  <c:v>2400</c:v>
                </c:pt>
                <c:pt idx="5">
                  <c:v>2500</c:v>
                </c:pt>
                <c:pt idx="6">
                  <c:v>2600</c:v>
                </c:pt>
                <c:pt idx="7">
                  <c:v>2300</c:v>
                </c:pt>
                <c:pt idx="8">
                  <c:v>2300</c:v>
                </c:pt>
              </c:numCache>
            </c:numRef>
          </c:xVal>
          <c:yVal>
            <c:numRef>
              <c:f>'差期组合(calendar spreads)'!$B$22:$J$22</c:f>
              <c:numCache>
                <c:formatCode>0.00_ </c:formatCode>
                <c:ptCount val="9"/>
                <c:pt idx="0">
                  <c:v>-38</c:v>
                </c:pt>
                <c:pt idx="1">
                  <c:v>-37.994</c:v>
                </c:pt>
                <c:pt idx="2">
                  <c:v>-37.509999999999991</c:v>
                </c:pt>
                <c:pt idx="3">
                  <c:v>-34</c:v>
                </c:pt>
                <c:pt idx="4">
                  <c:v>-126.41</c:v>
                </c:pt>
                <c:pt idx="5">
                  <c:v>-216.93</c:v>
                </c:pt>
                <c:pt idx="6">
                  <c:v>-287.01</c:v>
                </c:pt>
              </c:numCache>
            </c:numRef>
          </c:yVal>
          <c:smooth val="1"/>
        </c:ser>
        <c:ser>
          <c:idx val="4"/>
          <c:order val="3"/>
          <c:tx>
            <c:strRef>
              <c:f>'差期组合(calendar spreads)'!$A$23</c:f>
              <c:strCache>
                <c:ptCount val="1"/>
                <c:pt idx="0">
                  <c:v>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'差期组合(calendar spreads)'!$B$18:$J$18</c:f>
              <c:numCache>
                <c:formatCode>General</c:formatCode>
                <c:ptCount val="9"/>
                <c:pt idx="0">
                  <c:v>0</c:v>
                </c:pt>
                <c:pt idx="1">
                  <c:v>2100</c:v>
                </c:pt>
                <c:pt idx="2">
                  <c:v>2200</c:v>
                </c:pt>
                <c:pt idx="3">
                  <c:v>2300</c:v>
                </c:pt>
                <c:pt idx="4">
                  <c:v>2400</c:v>
                </c:pt>
                <c:pt idx="5">
                  <c:v>2500</c:v>
                </c:pt>
                <c:pt idx="6">
                  <c:v>2600</c:v>
                </c:pt>
                <c:pt idx="7">
                  <c:v>2300</c:v>
                </c:pt>
                <c:pt idx="8">
                  <c:v>2300</c:v>
                </c:pt>
              </c:numCache>
            </c:numRef>
          </c:xVal>
          <c:yVal>
            <c:numRef>
              <c:f>'差期组合(calendar spreads)'!$B$23:$J$23</c:f>
              <c:numCache>
                <c:formatCode>General</c:formatCode>
                <c:ptCount val="9"/>
                <c:pt idx="7">
                  <c:v>2300</c:v>
                </c:pt>
                <c:pt idx="8">
                  <c:v>-2300</c:v>
                </c:pt>
              </c:numCache>
            </c:numRef>
          </c:yVal>
          <c:smooth val="1"/>
        </c:ser>
        <c:axId val="94841088"/>
        <c:axId val="94847360"/>
      </c:scatterChart>
      <c:valAx>
        <c:axId val="94841088"/>
        <c:scaling>
          <c:orientation val="minMax"/>
          <c:max val="2400"/>
          <c:min val="2200"/>
        </c:scaling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短期权到期时的股价</a:t>
                </a:r>
              </a:p>
            </c:rich>
          </c:tx>
          <c:layout>
            <c:manualLayout>
              <c:xMode val="edge"/>
              <c:yMode val="edge"/>
              <c:x val="0.44458438287153651"/>
              <c:y val="0.91018089804642677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94847360"/>
        <c:crossesAt val="-15"/>
        <c:crossBetween val="midCat"/>
        <c:majorUnit val="50"/>
      </c:valAx>
      <c:valAx>
        <c:axId val="94847360"/>
        <c:scaling>
          <c:orientation val="minMax"/>
          <c:max val="250"/>
          <c:min val="-250"/>
        </c:scaling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盈亏</a:t>
                </a:r>
              </a:p>
            </c:rich>
          </c:tx>
          <c:layout>
            <c:manualLayout>
              <c:xMode val="edge"/>
              <c:yMode val="edge"/>
              <c:x val="6.2972292191436144E-3"/>
              <c:y val="0.4431144011190235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94841088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7934508816120911"/>
          <c:y val="0.12874282930202591"/>
          <c:w val="0.38287153652392947"/>
          <c:h val="0.10179640718562945"/>
        </c:manualLayout>
      </c:layout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322" r="0.75000000000000322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跨式组合</a:t>
            </a:r>
          </a:p>
        </c:rich>
      </c:tx>
      <c:layout>
        <c:manualLayout>
          <c:xMode val="edge"/>
          <c:yMode val="edge"/>
          <c:x val="0.46216216216216238"/>
          <c:y val="3.582089552238806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7297297297297303E-2"/>
          <c:y val="0.11641791044776063"/>
          <c:w val="0.82162162162162489"/>
          <c:h val="0.7343283582089557"/>
        </c:manualLayout>
      </c:layout>
      <c:scatterChart>
        <c:scatterStyle val="lineMarker"/>
        <c:ser>
          <c:idx val="0"/>
          <c:order val="0"/>
          <c:tx>
            <c:strRef>
              <c:f>'跨式组合(straddle)'!$A$14</c:f>
              <c:strCache>
                <c:ptCount val="1"/>
                <c:pt idx="0">
                  <c:v>看涨期权的盈亏</c:v>
                </c:pt>
              </c:strCache>
            </c:strRef>
          </c:tx>
          <c:spPr>
            <a:ln w="254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'跨式组合(straddle)'!$B$13:$F$13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2760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'跨式组合(straddle)'!$B$14:$F$14</c:f>
              <c:numCache>
                <c:formatCode>0.0_ </c:formatCode>
                <c:ptCount val="5"/>
                <c:pt idx="0">
                  <c:v>-37</c:v>
                </c:pt>
                <c:pt idx="1">
                  <c:v>-37</c:v>
                </c:pt>
                <c:pt idx="2">
                  <c:v>423</c:v>
                </c:pt>
              </c:numCache>
            </c:numRef>
          </c:yVal>
        </c:ser>
        <c:ser>
          <c:idx val="1"/>
          <c:order val="1"/>
          <c:tx>
            <c:strRef>
              <c:f>'跨式组合(straddle)'!$A$15</c:f>
              <c:strCache>
                <c:ptCount val="1"/>
                <c:pt idx="0">
                  <c:v>看跌期权的盈亏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'跨式组合(straddle)'!$B$13:$F$13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2760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'跨式组合(straddle)'!$B$15:$F$15</c:f>
              <c:numCache>
                <c:formatCode>0.0_ </c:formatCode>
                <c:ptCount val="5"/>
                <c:pt idx="0">
                  <c:v>2263</c:v>
                </c:pt>
                <c:pt idx="1">
                  <c:v>-37</c:v>
                </c:pt>
                <c:pt idx="2">
                  <c:v>-37</c:v>
                </c:pt>
              </c:numCache>
            </c:numRef>
          </c:yVal>
        </c:ser>
        <c:ser>
          <c:idx val="2"/>
          <c:order val="2"/>
          <c:tx>
            <c:strRef>
              <c:f>'跨式组合(straddle)'!$A$16</c:f>
              <c:strCache>
                <c:ptCount val="1"/>
                <c:pt idx="0">
                  <c:v>组合的总盈亏</c:v>
                </c:pt>
              </c:strCache>
            </c:strRef>
          </c:tx>
          <c:spPr>
            <a:ln w="381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'跨式组合(straddle)'!$B$13:$F$13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2760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'跨式组合(straddle)'!$B$16:$F$16</c:f>
              <c:numCache>
                <c:formatCode>0.0_ </c:formatCode>
                <c:ptCount val="5"/>
                <c:pt idx="0">
                  <c:v>2226</c:v>
                </c:pt>
                <c:pt idx="1">
                  <c:v>-74</c:v>
                </c:pt>
                <c:pt idx="2">
                  <c:v>386</c:v>
                </c:pt>
              </c:numCache>
            </c:numRef>
          </c:yVal>
        </c:ser>
        <c:ser>
          <c:idx val="3"/>
          <c:order val="3"/>
          <c:tx>
            <c:strRef>
              <c:f>'跨式组合(straddle)'!$A$17</c:f>
              <c:strCache>
                <c:ptCount val="1"/>
                <c:pt idx="0">
                  <c:v>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'跨式组合(straddle)'!$B$13:$F$13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2760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'跨式组合(straddle)'!$B$17:$F$17</c:f>
              <c:numCache>
                <c:formatCode>0.0_ </c:formatCode>
                <c:ptCount val="5"/>
                <c:pt idx="3">
                  <c:v>2300</c:v>
                </c:pt>
                <c:pt idx="4">
                  <c:v>-2300</c:v>
                </c:pt>
              </c:numCache>
            </c:numRef>
          </c:yVal>
        </c:ser>
        <c:axId val="72367104"/>
        <c:axId val="72385664"/>
      </c:scatterChart>
      <c:valAx>
        <c:axId val="72367104"/>
        <c:scaling>
          <c:orientation val="minMax"/>
          <c:max val="2500"/>
          <c:min val="2100"/>
        </c:scaling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期权到期时的股价</a:t>
                </a:r>
              </a:p>
            </c:rich>
          </c:tx>
          <c:layout>
            <c:manualLayout>
              <c:xMode val="edge"/>
              <c:yMode val="edge"/>
              <c:x val="0.43513513513513513"/>
              <c:y val="0.90149253731343282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72385664"/>
        <c:crossesAt val="-30"/>
        <c:crossBetween val="midCat"/>
        <c:majorUnit val="50"/>
      </c:valAx>
      <c:valAx>
        <c:axId val="72385664"/>
        <c:scaling>
          <c:orientation val="minMax"/>
          <c:max val="80"/>
          <c:min val="-80"/>
        </c:scaling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盈亏</a:t>
                </a:r>
              </a:p>
            </c:rich>
          </c:tx>
          <c:layout>
            <c:manualLayout>
              <c:xMode val="edge"/>
              <c:yMode val="edge"/>
              <c:x val="2.7027027027027251E-2"/>
              <c:y val="0.44477611940298506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72367104"/>
        <c:crosses val="autoZero"/>
        <c:crossBetween val="midCat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7907655482458642"/>
          <c:y val="0.69372982632490132"/>
          <c:w val="0.36891891891892142"/>
          <c:h val="0.24806463021909494"/>
        </c:manualLayout>
      </c:layout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322" r="0.75000000000000322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条式组合</a:t>
            </a:r>
          </a:p>
        </c:rich>
      </c:tx>
      <c:layout>
        <c:manualLayout>
          <c:xMode val="edge"/>
          <c:yMode val="edge"/>
          <c:x val="0.48129059351452036"/>
          <c:y val="2.076124567474065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6451667371262267E-2"/>
          <c:y val="0.10380640376027947"/>
          <c:w val="0.85161343977661252"/>
          <c:h val="0.76124696090871169"/>
        </c:manualLayout>
      </c:layout>
      <c:scatterChart>
        <c:scatterStyle val="lineMarker"/>
        <c:ser>
          <c:idx val="0"/>
          <c:order val="0"/>
          <c:tx>
            <c:strRef>
              <c:f>'条式组合(strips)'!$A$14</c:f>
              <c:strCache>
                <c:ptCount val="1"/>
                <c:pt idx="0">
                  <c:v>看涨期权的盈亏</c:v>
                </c:pt>
              </c:strCache>
            </c:strRef>
          </c:tx>
          <c:spPr>
            <a:ln w="254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'条式组合(strips)'!$B$13:$F$13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2760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'条式组合(strips)'!$B$14:$F$14</c:f>
              <c:numCache>
                <c:formatCode>0.0_ </c:formatCode>
                <c:ptCount val="5"/>
                <c:pt idx="0">
                  <c:v>-37</c:v>
                </c:pt>
                <c:pt idx="1">
                  <c:v>-37</c:v>
                </c:pt>
                <c:pt idx="2">
                  <c:v>423</c:v>
                </c:pt>
              </c:numCache>
            </c:numRef>
          </c:yVal>
        </c:ser>
        <c:ser>
          <c:idx val="1"/>
          <c:order val="1"/>
          <c:tx>
            <c:strRef>
              <c:f>'条式组合(strips)'!$A$15</c:f>
              <c:strCache>
                <c:ptCount val="1"/>
                <c:pt idx="0">
                  <c:v>看跌期权的盈亏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'条式组合(strips)'!$B$13:$F$13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2760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'条式组合(strips)'!$B$15:$F$15</c:f>
              <c:numCache>
                <c:formatCode>0.0_ </c:formatCode>
                <c:ptCount val="5"/>
                <c:pt idx="0">
                  <c:v>4526</c:v>
                </c:pt>
                <c:pt idx="1">
                  <c:v>-74</c:v>
                </c:pt>
                <c:pt idx="2">
                  <c:v>-74</c:v>
                </c:pt>
              </c:numCache>
            </c:numRef>
          </c:yVal>
        </c:ser>
        <c:ser>
          <c:idx val="2"/>
          <c:order val="2"/>
          <c:tx>
            <c:strRef>
              <c:f>'条式组合(strips)'!$A$16</c:f>
              <c:strCache>
                <c:ptCount val="1"/>
                <c:pt idx="0">
                  <c:v>组合的总盈亏</c:v>
                </c:pt>
              </c:strCache>
            </c:strRef>
          </c:tx>
          <c:spPr>
            <a:ln w="381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'条式组合(strips)'!$B$13:$F$13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2760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'条式组合(strips)'!$B$16:$F$16</c:f>
              <c:numCache>
                <c:formatCode>0.0_ </c:formatCode>
                <c:ptCount val="5"/>
                <c:pt idx="0">
                  <c:v>4489</c:v>
                </c:pt>
                <c:pt idx="1">
                  <c:v>-111</c:v>
                </c:pt>
                <c:pt idx="2">
                  <c:v>349</c:v>
                </c:pt>
              </c:numCache>
            </c:numRef>
          </c:yVal>
        </c:ser>
        <c:ser>
          <c:idx val="3"/>
          <c:order val="3"/>
          <c:tx>
            <c:strRef>
              <c:f>'条式组合(strips)'!$A$17</c:f>
              <c:strCache>
                <c:ptCount val="1"/>
                <c:pt idx="0">
                  <c:v>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'条式组合(strips)'!$B$13:$F$13</c:f>
              <c:numCache>
                <c:formatCode>0.0_ </c:formatCode>
                <c:ptCount val="5"/>
                <c:pt idx="0">
                  <c:v>0</c:v>
                </c:pt>
                <c:pt idx="1">
                  <c:v>2300</c:v>
                </c:pt>
                <c:pt idx="2">
                  <c:v>2760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'条式组合(strips)'!$B$17:$F$17</c:f>
              <c:numCache>
                <c:formatCode>0.0_ </c:formatCode>
                <c:ptCount val="5"/>
                <c:pt idx="3">
                  <c:v>50</c:v>
                </c:pt>
                <c:pt idx="4">
                  <c:v>-50</c:v>
                </c:pt>
              </c:numCache>
            </c:numRef>
          </c:yVal>
        </c:ser>
        <c:axId val="73253248"/>
        <c:axId val="73255168"/>
      </c:scatterChart>
      <c:valAx>
        <c:axId val="73253248"/>
        <c:scaling>
          <c:orientation val="minMax"/>
          <c:max val="2500"/>
          <c:min val="2200"/>
        </c:scaling>
        <c:axPos val="b"/>
        <c:title>
          <c:tx>
            <c:rich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期权到期时的股价</a:t>
                </a:r>
              </a:p>
            </c:rich>
          </c:tx>
          <c:layout>
            <c:manualLayout>
              <c:xMode val="edge"/>
              <c:yMode val="edge"/>
              <c:x val="0.4438712386758108"/>
              <c:y val="0.91349626279414031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73255168"/>
        <c:crossesAt val="-30"/>
        <c:crossBetween val="midCat"/>
        <c:majorUnit val="50"/>
      </c:valAx>
      <c:valAx>
        <c:axId val="73255168"/>
        <c:scaling>
          <c:orientation val="minMax"/>
          <c:max val="80"/>
          <c:min val="-120"/>
        </c:scaling>
        <c:axPos val="l"/>
        <c:title>
          <c:tx>
            <c:rich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盈亏</a:t>
                </a:r>
              </a:p>
            </c:rich>
          </c:tx>
          <c:layout>
            <c:manualLayout>
              <c:xMode val="edge"/>
              <c:yMode val="edge"/>
              <c:x val="7.7419354838710154E-3"/>
              <c:y val="0.42906647049741847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73253248"/>
        <c:crosses val="autoZero"/>
        <c:crossBetween val="midCat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5956989247311872"/>
          <c:y val="0.69319528830522481"/>
          <c:w val="0.36516156125645854"/>
          <c:h val="0.18339136673659787"/>
        </c:manualLayout>
      </c:layout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322" r="0.75000000000000322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title>
      <c:tx>
        <c:rich>
          <a:bodyPr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带式组合</a:t>
            </a:r>
          </a:p>
        </c:rich>
      </c:tx>
      <c:layout>
        <c:manualLayout>
          <c:xMode val="edge"/>
          <c:yMode val="edge"/>
          <c:x val="0.48331108144192281"/>
          <c:y val="1.501501501501509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6128170894526063E-2"/>
          <c:y val="9.3093366100572533E-2"/>
          <c:w val="0.8558077436582141"/>
          <c:h val="0.74174391699488473"/>
        </c:manualLayout>
      </c:layout>
      <c:scatterChart>
        <c:scatterStyle val="lineMarker"/>
        <c:ser>
          <c:idx val="0"/>
          <c:order val="0"/>
          <c:tx>
            <c:strRef>
              <c:f>'带式组合(straps)'!$A$17</c:f>
              <c:strCache>
                <c:ptCount val="1"/>
                <c:pt idx="0">
                  <c:v>看涨期权的盈亏</c:v>
                </c:pt>
              </c:strCache>
            </c:strRef>
          </c:tx>
          <c:spPr>
            <a:ln w="254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'带式组合(straps)'!$B$16:$F$16</c:f>
              <c:numCache>
                <c:formatCode>0.0_ </c:formatCode>
                <c:ptCount val="5"/>
                <c:pt idx="0">
                  <c:v>2070</c:v>
                </c:pt>
                <c:pt idx="1">
                  <c:v>2300</c:v>
                </c:pt>
                <c:pt idx="2">
                  <c:v>3450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'带式组合(straps)'!$B$17:$F$17</c:f>
              <c:numCache>
                <c:formatCode>0.0_ </c:formatCode>
                <c:ptCount val="5"/>
                <c:pt idx="0">
                  <c:v>-74</c:v>
                </c:pt>
                <c:pt idx="1">
                  <c:v>-74</c:v>
                </c:pt>
                <c:pt idx="2">
                  <c:v>2226</c:v>
                </c:pt>
              </c:numCache>
            </c:numRef>
          </c:yVal>
        </c:ser>
        <c:ser>
          <c:idx val="1"/>
          <c:order val="1"/>
          <c:tx>
            <c:strRef>
              <c:f>'带式组合(straps)'!$A$18</c:f>
              <c:strCache>
                <c:ptCount val="1"/>
                <c:pt idx="0">
                  <c:v>看跌期权的盈亏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'带式组合(straps)'!$B$16:$F$16</c:f>
              <c:numCache>
                <c:formatCode>0.0_ </c:formatCode>
                <c:ptCount val="5"/>
                <c:pt idx="0">
                  <c:v>2070</c:v>
                </c:pt>
                <c:pt idx="1">
                  <c:v>2300</c:v>
                </c:pt>
                <c:pt idx="2">
                  <c:v>3450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'带式组合(straps)'!$B$18:$F$18</c:f>
              <c:numCache>
                <c:formatCode>0.0_ </c:formatCode>
                <c:ptCount val="5"/>
                <c:pt idx="0">
                  <c:v>198</c:v>
                </c:pt>
                <c:pt idx="1">
                  <c:v>-32</c:v>
                </c:pt>
                <c:pt idx="2">
                  <c:v>-32</c:v>
                </c:pt>
              </c:numCache>
            </c:numRef>
          </c:yVal>
        </c:ser>
        <c:ser>
          <c:idx val="2"/>
          <c:order val="2"/>
          <c:tx>
            <c:strRef>
              <c:f>'带式组合(straps)'!$A$19</c:f>
              <c:strCache>
                <c:ptCount val="1"/>
                <c:pt idx="0">
                  <c:v>组合的总盈亏</c:v>
                </c:pt>
              </c:strCache>
            </c:strRef>
          </c:tx>
          <c:spPr>
            <a:ln w="381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'带式组合(straps)'!$B$16:$F$16</c:f>
              <c:numCache>
                <c:formatCode>0.0_ </c:formatCode>
                <c:ptCount val="5"/>
                <c:pt idx="0">
                  <c:v>2070</c:v>
                </c:pt>
                <c:pt idx="1">
                  <c:v>2300</c:v>
                </c:pt>
                <c:pt idx="2">
                  <c:v>3450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'带式组合(straps)'!$B$19:$F$19</c:f>
              <c:numCache>
                <c:formatCode>0.0_ </c:formatCode>
                <c:ptCount val="5"/>
                <c:pt idx="0">
                  <c:v>124</c:v>
                </c:pt>
                <c:pt idx="1">
                  <c:v>-106</c:v>
                </c:pt>
                <c:pt idx="2">
                  <c:v>2194</c:v>
                </c:pt>
              </c:numCache>
            </c:numRef>
          </c:yVal>
        </c:ser>
        <c:ser>
          <c:idx val="3"/>
          <c:order val="3"/>
          <c:tx>
            <c:strRef>
              <c:f>'带式组合(straps)'!$A$20</c:f>
              <c:strCache>
                <c:ptCount val="1"/>
                <c:pt idx="0">
                  <c:v>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'带式组合(straps)'!$B$16:$F$16</c:f>
              <c:numCache>
                <c:formatCode>0.0_ </c:formatCode>
                <c:ptCount val="5"/>
                <c:pt idx="0">
                  <c:v>2070</c:v>
                </c:pt>
                <c:pt idx="1">
                  <c:v>2300</c:v>
                </c:pt>
                <c:pt idx="2">
                  <c:v>3450</c:v>
                </c:pt>
                <c:pt idx="3">
                  <c:v>2300</c:v>
                </c:pt>
                <c:pt idx="4">
                  <c:v>2300</c:v>
                </c:pt>
              </c:numCache>
            </c:numRef>
          </c:xVal>
          <c:yVal>
            <c:numRef>
              <c:f>'带式组合(straps)'!$B$20:$F$20</c:f>
              <c:numCache>
                <c:formatCode>0.0_ </c:formatCode>
                <c:ptCount val="5"/>
                <c:pt idx="3">
                  <c:v>2300</c:v>
                </c:pt>
                <c:pt idx="4">
                  <c:v>-2300</c:v>
                </c:pt>
              </c:numCache>
            </c:numRef>
          </c:yVal>
        </c:ser>
        <c:axId val="74147328"/>
        <c:axId val="74149248"/>
      </c:scatterChart>
      <c:valAx>
        <c:axId val="74147328"/>
        <c:scaling>
          <c:orientation val="minMax"/>
          <c:max val="2500"/>
          <c:min val="2200"/>
        </c:scaling>
        <c:axPos val="b"/>
        <c:title>
          <c:tx>
            <c:rich>
              <a:bodyPr/>
              <a:lstStyle/>
              <a:p>
                <a:pPr>
                  <a:defRPr sz="925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期权到期时的股价</a:t>
                </a:r>
              </a:p>
            </c:rich>
          </c:tx>
          <c:layout>
            <c:manualLayout>
              <c:xMode val="edge"/>
              <c:yMode val="edge"/>
              <c:x val="0.46328437917223197"/>
              <c:y val="0.8979004201051447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74149248"/>
        <c:crossesAt val="-30"/>
        <c:crossBetween val="midCat"/>
        <c:majorUnit val="50"/>
      </c:valAx>
      <c:valAx>
        <c:axId val="74149248"/>
        <c:scaling>
          <c:orientation val="minMax"/>
          <c:max val="120"/>
          <c:min val="-120"/>
        </c:scaling>
        <c:axPos val="l"/>
        <c:title>
          <c:tx>
            <c:rich>
              <a:bodyPr/>
              <a:lstStyle/>
              <a:p>
                <a:pPr>
                  <a:defRPr sz="925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盈亏</a:t>
                </a:r>
              </a:p>
            </c:rich>
          </c:tx>
          <c:layout>
            <c:manualLayout>
              <c:xMode val="edge"/>
              <c:yMode val="edge"/>
              <c:x val="2.2696929238985308E-2"/>
              <c:y val="0.4204216815240473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74147328"/>
        <c:crosses val="autoZero"/>
        <c:crossBetween val="midCat"/>
        <c:majorUnit val="2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6074766355140404"/>
          <c:y val="0.58058089585648442"/>
          <c:w val="0.37783711615487547"/>
          <c:h val="0.14714746242305296"/>
        </c:manualLayout>
      </c:layout>
      <c:spPr>
        <a:noFill/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322" r="0.75000000000000322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差价组合</a:t>
            </a:r>
          </a:p>
        </c:rich>
      </c:tx>
      <c:layout>
        <c:manualLayout>
          <c:xMode val="edge"/>
          <c:yMode val="edge"/>
          <c:x val="0.46905118290750131"/>
          <c:y val="1.798561151079136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279237286712629"/>
          <c:y val="0.12589928057554051"/>
          <c:w val="0.81568142817324263"/>
          <c:h val="0.58633093525179858"/>
        </c:manualLayout>
      </c:layout>
      <c:scatterChart>
        <c:scatterStyle val="lineMarker"/>
        <c:ser>
          <c:idx val="0"/>
          <c:order val="0"/>
          <c:tx>
            <c:strRef>
              <c:f>'宽跨式组合(strangles)'!$A$14</c:f>
              <c:strCache>
                <c:ptCount val="1"/>
                <c:pt idx="0">
                  <c:v>看跌期权的盈亏</c:v>
                </c:pt>
              </c:strCache>
            </c:strRef>
          </c:tx>
          <c:spPr>
            <a:ln w="254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'宽跨式组合(strangles)'!$B$13:$I$13</c:f>
              <c:numCache>
                <c:formatCode>0.0_ </c:formatCode>
                <c:ptCount val="8"/>
                <c:pt idx="0">
                  <c:v>2070</c:v>
                </c:pt>
                <c:pt idx="1">
                  <c:v>2300</c:v>
                </c:pt>
                <c:pt idx="2">
                  <c:v>2500</c:v>
                </c:pt>
                <c:pt idx="3">
                  <c:v>2750</c:v>
                </c:pt>
                <c:pt idx="4">
                  <c:v>2300</c:v>
                </c:pt>
                <c:pt idx="5">
                  <c:v>2300</c:v>
                </c:pt>
                <c:pt idx="6">
                  <c:v>2500</c:v>
                </c:pt>
                <c:pt idx="7">
                  <c:v>2500</c:v>
                </c:pt>
              </c:numCache>
            </c:numRef>
          </c:xVal>
          <c:yVal>
            <c:numRef>
              <c:f>'宽跨式组合(strangles)'!$B$14:$I$14</c:f>
              <c:numCache>
                <c:formatCode>0.0_ </c:formatCode>
                <c:ptCount val="8"/>
                <c:pt idx="0">
                  <c:v>-193</c:v>
                </c:pt>
                <c:pt idx="1">
                  <c:v>37</c:v>
                </c:pt>
                <c:pt idx="2">
                  <c:v>37</c:v>
                </c:pt>
                <c:pt idx="3">
                  <c:v>37</c:v>
                </c:pt>
              </c:numCache>
            </c:numRef>
          </c:yVal>
        </c:ser>
        <c:ser>
          <c:idx val="1"/>
          <c:order val="1"/>
          <c:tx>
            <c:strRef>
              <c:f>'宽跨式组合(strangles)'!$A$15</c:f>
              <c:strCache>
                <c:ptCount val="1"/>
                <c:pt idx="0">
                  <c:v>看涨期权的盈亏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'宽跨式组合(strangles)'!$B$13:$I$13</c:f>
              <c:numCache>
                <c:formatCode>0.0_ </c:formatCode>
                <c:ptCount val="8"/>
                <c:pt idx="0">
                  <c:v>2070</c:v>
                </c:pt>
                <c:pt idx="1">
                  <c:v>2300</c:v>
                </c:pt>
                <c:pt idx="2">
                  <c:v>2500</c:v>
                </c:pt>
                <c:pt idx="3">
                  <c:v>2750</c:v>
                </c:pt>
                <c:pt idx="4">
                  <c:v>2300</c:v>
                </c:pt>
                <c:pt idx="5">
                  <c:v>2300</c:v>
                </c:pt>
                <c:pt idx="6">
                  <c:v>2500</c:v>
                </c:pt>
                <c:pt idx="7">
                  <c:v>2500</c:v>
                </c:pt>
              </c:numCache>
            </c:numRef>
          </c:xVal>
          <c:yVal>
            <c:numRef>
              <c:f>'宽跨式组合(strangles)'!$B$15:$I$15</c:f>
              <c:numCache>
                <c:formatCode>0.0_ </c:formatCode>
                <c:ptCount val="8"/>
                <c:pt idx="0">
                  <c:v>130</c:v>
                </c:pt>
                <c:pt idx="1">
                  <c:v>130</c:v>
                </c:pt>
                <c:pt idx="2">
                  <c:v>130</c:v>
                </c:pt>
                <c:pt idx="3">
                  <c:v>-120</c:v>
                </c:pt>
              </c:numCache>
            </c:numRef>
          </c:yVal>
        </c:ser>
        <c:ser>
          <c:idx val="2"/>
          <c:order val="2"/>
          <c:tx>
            <c:strRef>
              <c:f>'宽跨式组合(strangles)'!$A$16</c:f>
              <c:strCache>
                <c:ptCount val="1"/>
                <c:pt idx="0">
                  <c:v>组合的总盈亏</c:v>
                </c:pt>
              </c:strCache>
            </c:strRef>
          </c:tx>
          <c:spPr>
            <a:ln w="381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'宽跨式组合(strangles)'!$B$13:$I$13</c:f>
              <c:numCache>
                <c:formatCode>0.0_ </c:formatCode>
                <c:ptCount val="8"/>
                <c:pt idx="0">
                  <c:v>2070</c:v>
                </c:pt>
                <c:pt idx="1">
                  <c:v>2300</c:v>
                </c:pt>
                <c:pt idx="2">
                  <c:v>2500</c:v>
                </c:pt>
                <c:pt idx="3">
                  <c:v>2750</c:v>
                </c:pt>
                <c:pt idx="4">
                  <c:v>2300</c:v>
                </c:pt>
                <c:pt idx="5">
                  <c:v>2300</c:v>
                </c:pt>
                <c:pt idx="6">
                  <c:v>2500</c:v>
                </c:pt>
                <c:pt idx="7">
                  <c:v>2500</c:v>
                </c:pt>
              </c:numCache>
            </c:numRef>
          </c:xVal>
          <c:yVal>
            <c:numRef>
              <c:f>'宽跨式组合(strangles)'!$B$16:$I$16</c:f>
              <c:numCache>
                <c:formatCode>0.0_ </c:formatCode>
                <c:ptCount val="8"/>
                <c:pt idx="0">
                  <c:v>-63</c:v>
                </c:pt>
                <c:pt idx="1">
                  <c:v>167</c:v>
                </c:pt>
                <c:pt idx="2">
                  <c:v>167</c:v>
                </c:pt>
                <c:pt idx="3">
                  <c:v>-83</c:v>
                </c:pt>
              </c:numCache>
            </c:numRef>
          </c:yVal>
        </c:ser>
        <c:ser>
          <c:idx val="3"/>
          <c:order val="3"/>
          <c:tx>
            <c:strRef>
              <c:f>'宽跨式组合(strangles)'!$A$17</c:f>
              <c:strCache>
                <c:ptCount val="1"/>
                <c:pt idx="0">
                  <c:v>低协议价格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'宽跨式组合(strangles)'!$B$13:$I$13</c:f>
              <c:numCache>
                <c:formatCode>0.0_ </c:formatCode>
                <c:ptCount val="8"/>
                <c:pt idx="0">
                  <c:v>2070</c:v>
                </c:pt>
                <c:pt idx="1">
                  <c:v>2300</c:v>
                </c:pt>
                <c:pt idx="2">
                  <c:v>2500</c:v>
                </c:pt>
                <c:pt idx="3">
                  <c:v>2750</c:v>
                </c:pt>
                <c:pt idx="4">
                  <c:v>2300</c:v>
                </c:pt>
                <c:pt idx="5">
                  <c:v>2300</c:v>
                </c:pt>
                <c:pt idx="6">
                  <c:v>2500</c:v>
                </c:pt>
                <c:pt idx="7">
                  <c:v>2500</c:v>
                </c:pt>
              </c:numCache>
            </c:numRef>
          </c:xVal>
          <c:yVal>
            <c:numRef>
              <c:f>'宽跨式组合(strangles)'!$B$17:$I$17</c:f>
              <c:numCache>
                <c:formatCode>0.0_ </c:formatCode>
                <c:ptCount val="8"/>
                <c:pt idx="4">
                  <c:v>50</c:v>
                </c:pt>
                <c:pt idx="5">
                  <c:v>-50</c:v>
                </c:pt>
              </c:numCache>
            </c:numRef>
          </c:yVal>
        </c:ser>
        <c:ser>
          <c:idx val="4"/>
          <c:order val="4"/>
          <c:tx>
            <c:strRef>
              <c:f>'宽跨式组合(strangles)'!$A$18</c:f>
              <c:strCache>
                <c:ptCount val="1"/>
                <c:pt idx="0">
                  <c:v>高协议价格</c:v>
                </c:pt>
              </c:strCache>
            </c:strRef>
          </c:tx>
          <c:spPr>
            <a:ln w="3175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Ref>
              <c:f>'宽跨式组合(strangles)'!$B$13:$I$13</c:f>
              <c:numCache>
                <c:formatCode>0.0_ </c:formatCode>
                <c:ptCount val="8"/>
                <c:pt idx="0">
                  <c:v>2070</c:v>
                </c:pt>
                <c:pt idx="1">
                  <c:v>2300</c:v>
                </c:pt>
                <c:pt idx="2">
                  <c:v>2500</c:v>
                </c:pt>
                <c:pt idx="3">
                  <c:v>2750</c:v>
                </c:pt>
                <c:pt idx="4">
                  <c:v>2300</c:v>
                </c:pt>
                <c:pt idx="5">
                  <c:v>2300</c:v>
                </c:pt>
                <c:pt idx="6">
                  <c:v>2500</c:v>
                </c:pt>
                <c:pt idx="7">
                  <c:v>2500</c:v>
                </c:pt>
              </c:numCache>
            </c:numRef>
          </c:xVal>
          <c:yVal>
            <c:numRef>
              <c:f>'宽跨式组合(strangles)'!$B$18:$I$18</c:f>
              <c:numCache>
                <c:formatCode>0.0_ </c:formatCode>
                <c:ptCount val="8"/>
                <c:pt idx="6">
                  <c:v>50</c:v>
                </c:pt>
                <c:pt idx="7">
                  <c:v>-50</c:v>
                </c:pt>
              </c:numCache>
            </c:numRef>
          </c:yVal>
        </c:ser>
        <c:axId val="101395840"/>
        <c:axId val="101406208"/>
      </c:scatterChart>
      <c:valAx>
        <c:axId val="101395840"/>
        <c:scaling>
          <c:orientation val="minMax"/>
          <c:max val="2700"/>
          <c:min val="2100"/>
        </c:scaling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盈亏</a:t>
                </a:r>
              </a:p>
            </c:rich>
          </c:tx>
          <c:layout>
            <c:manualLayout>
              <c:xMode val="edge"/>
              <c:yMode val="edge"/>
              <c:x val="0.48968392018397988"/>
              <c:y val="0.75899280575539574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01406208"/>
        <c:crosses val="autoZero"/>
        <c:crossBetween val="midCat"/>
        <c:majorUnit val="50"/>
      </c:valAx>
      <c:valAx>
        <c:axId val="101406208"/>
        <c:scaling>
          <c:orientation val="minMax"/>
          <c:max val="180"/>
          <c:min val="-180"/>
        </c:scaling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期权到期时的股价</a:t>
                </a:r>
              </a:p>
            </c:rich>
          </c:tx>
          <c:layout>
            <c:manualLayout>
              <c:xMode val="edge"/>
              <c:yMode val="edge"/>
              <c:x val="2.4759284731774408E-2"/>
              <c:y val="0.25179856115107918"/>
            </c:manualLayout>
          </c:layout>
          <c:spPr>
            <a:noFill/>
            <a:ln w="25400">
              <a:noFill/>
            </a:ln>
          </c:spPr>
        </c:title>
        <c:numFmt formatCode="0_ 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01395840"/>
        <c:crosses val="autoZero"/>
        <c:crossBetween val="midCat"/>
        <c:majorUnit val="4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231101098607514"/>
          <c:y val="0.84172661870503662"/>
          <c:w val="0.65887251026221461"/>
          <c:h val="0.14388489208633198"/>
        </c:manualLayout>
      </c:layout>
      <c:spPr>
        <a:noFill/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000000000000322" r="0.7500000000000032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19049</xdr:colOff>
      <xdr:row>1</xdr:row>
      <xdr:rowOff>57150</xdr:rowOff>
    </xdr:from>
    <xdr:to>
      <xdr:col>16</xdr:col>
      <xdr:colOff>123824</xdr:colOff>
      <xdr:row>15</xdr:row>
      <xdr:rowOff>85725</xdr:rowOff>
    </xdr:to>
    <xdr:graphicFrame macro="">
      <xdr:nvGraphicFramePr>
        <xdr:cNvPr id="5" name="图表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19050</xdr:colOff>
      <xdr:row>15</xdr:row>
      <xdr:rowOff>180975</xdr:rowOff>
    </xdr:from>
    <xdr:to>
      <xdr:col>16</xdr:col>
      <xdr:colOff>123825</xdr:colOff>
      <xdr:row>31</xdr:row>
      <xdr:rowOff>123825</xdr:rowOff>
    </xdr:to>
    <xdr:graphicFrame macro="">
      <xdr:nvGraphicFramePr>
        <xdr:cNvPr id="6" name="图表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438149</xdr:colOff>
      <xdr:row>15</xdr:row>
      <xdr:rowOff>114300</xdr:rowOff>
    </xdr:from>
    <xdr:to>
      <xdr:col>5</xdr:col>
      <xdr:colOff>609599</xdr:colOff>
      <xdr:row>32</xdr:row>
      <xdr:rowOff>85725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76200</xdr:rowOff>
    </xdr:from>
    <xdr:to>
      <xdr:col>7</xdr:col>
      <xdr:colOff>19050</xdr:colOff>
      <xdr:row>30</xdr:row>
      <xdr:rowOff>161925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18</xdr:row>
      <xdr:rowOff>57150</xdr:rowOff>
    </xdr:from>
    <xdr:to>
      <xdr:col>8</xdr:col>
      <xdr:colOff>447675</xdr:colOff>
      <xdr:row>33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114300</xdr:rowOff>
    </xdr:from>
    <xdr:to>
      <xdr:col>9</xdr:col>
      <xdr:colOff>371475</xdr:colOff>
      <xdr:row>41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23</xdr:row>
      <xdr:rowOff>161925</xdr:rowOff>
    </xdr:from>
    <xdr:to>
      <xdr:col>9</xdr:col>
      <xdr:colOff>295275</xdr:colOff>
      <xdr:row>40</xdr:row>
      <xdr:rowOff>104775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17</xdr:row>
      <xdr:rowOff>114301</xdr:rowOff>
    </xdr:from>
    <xdr:to>
      <xdr:col>8</xdr:col>
      <xdr:colOff>228600</xdr:colOff>
      <xdr:row>31</xdr:row>
      <xdr:rowOff>133351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17</xdr:row>
      <xdr:rowOff>161925</xdr:rowOff>
    </xdr:from>
    <xdr:to>
      <xdr:col>9</xdr:col>
      <xdr:colOff>657225</xdr:colOff>
      <xdr:row>32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20</xdr:row>
      <xdr:rowOff>85725</xdr:rowOff>
    </xdr:from>
    <xdr:to>
      <xdr:col>9</xdr:col>
      <xdr:colOff>114300</xdr:colOff>
      <xdr:row>37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895350</xdr:colOff>
      <xdr:row>19</xdr:row>
      <xdr:rowOff>114300</xdr:rowOff>
    </xdr:from>
    <xdr:to>
      <xdr:col>9</xdr:col>
      <xdr:colOff>590550</xdr:colOff>
      <xdr:row>33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H22"/>
  <sheetViews>
    <sheetView tabSelected="1" workbookViewId="0">
      <selection activeCell="B2" sqref="B2"/>
    </sheetView>
  </sheetViews>
  <sheetFormatPr defaultRowHeight="13.5"/>
  <cols>
    <col min="1" max="1" width="9" style="2"/>
    <col min="2" max="2" width="34.125" style="2" bestFit="1" customWidth="1"/>
    <col min="3" max="3" width="9" style="2"/>
    <col min="4" max="4" width="12.125" style="2" bestFit="1" customWidth="1"/>
    <col min="5" max="5" width="15.125" style="2" bestFit="1" customWidth="1"/>
    <col min="6" max="6" width="12.25" style="2" bestFit="1" customWidth="1"/>
    <col min="7" max="7" width="13.375" style="2" bestFit="1" customWidth="1"/>
    <col min="8" max="8" width="12.25" style="2" bestFit="1" customWidth="1"/>
    <col min="9" max="16384" width="9" style="2"/>
  </cols>
  <sheetData>
    <row r="1" spans="2:8">
      <c r="B1" s="76" t="s">
        <v>106</v>
      </c>
    </row>
    <row r="2" spans="2:8">
      <c r="B2" s="77" t="s">
        <v>104</v>
      </c>
    </row>
    <row r="3" spans="2:8">
      <c r="B3" s="77" t="s">
        <v>105</v>
      </c>
    </row>
    <row r="4" spans="2:8">
      <c r="B4" s="77" t="s">
        <v>107</v>
      </c>
    </row>
    <row r="5" spans="2:8">
      <c r="B5" s="77" t="s">
        <v>108</v>
      </c>
    </row>
    <row r="6" spans="2:8">
      <c r="B6" s="77" t="s">
        <v>109</v>
      </c>
    </row>
    <row r="7" spans="2:8">
      <c r="B7" s="77" t="s">
        <v>110</v>
      </c>
    </row>
    <row r="8" spans="2:8">
      <c r="B8" s="77" t="s">
        <v>111</v>
      </c>
    </row>
    <row r="9" spans="2:8">
      <c r="B9" s="77" t="s">
        <v>112</v>
      </c>
    </row>
    <row r="10" spans="2:8">
      <c r="B10" s="77" t="s">
        <v>113</v>
      </c>
    </row>
    <row r="11" spans="2:8">
      <c r="B11" s="77" t="s">
        <v>114</v>
      </c>
    </row>
    <row r="12" spans="2:8">
      <c r="B12" s="77" t="s">
        <v>115</v>
      </c>
    </row>
    <row r="13" spans="2:8">
      <c r="B13" s="77" t="s">
        <v>162</v>
      </c>
    </row>
    <row r="14" spans="2:8" ht="14.25" thickBot="1">
      <c r="B14" s="77" t="s">
        <v>167</v>
      </c>
      <c r="D14" s="117" t="s">
        <v>116</v>
      </c>
      <c r="E14" s="117"/>
      <c r="F14" s="117"/>
      <c r="G14" s="117"/>
      <c r="H14" s="117"/>
    </row>
    <row r="15" spans="2:8" ht="14.25" thickBot="1">
      <c r="D15" s="78"/>
      <c r="E15" s="115" t="s">
        <v>126</v>
      </c>
      <c r="F15" s="115"/>
      <c r="G15" s="115" t="s">
        <v>127</v>
      </c>
      <c r="H15" s="116"/>
    </row>
    <row r="16" spans="2:8" ht="14.25" thickBot="1">
      <c r="D16" s="79" t="s">
        <v>117</v>
      </c>
      <c r="E16" s="80" t="s">
        <v>124</v>
      </c>
      <c r="F16" s="80" t="s">
        <v>125</v>
      </c>
      <c r="G16" s="80" t="s">
        <v>124</v>
      </c>
      <c r="H16" s="81" t="s">
        <v>125</v>
      </c>
    </row>
    <row r="17" spans="4:8" ht="14.25" thickBot="1">
      <c r="D17" s="82" t="s">
        <v>118</v>
      </c>
      <c r="E17" s="83" t="s">
        <v>128</v>
      </c>
      <c r="F17" s="83" t="s">
        <v>129</v>
      </c>
      <c r="G17" s="83" t="s">
        <v>128</v>
      </c>
      <c r="H17" s="84" t="s">
        <v>129</v>
      </c>
    </row>
    <row r="18" spans="4:8" ht="14.25" thickBot="1">
      <c r="D18" s="79" t="s">
        <v>119</v>
      </c>
      <c r="E18" s="80" t="s">
        <v>129</v>
      </c>
      <c r="F18" s="80" t="s">
        <v>128</v>
      </c>
      <c r="G18" s="80" t="s">
        <v>129</v>
      </c>
      <c r="H18" s="81" t="s">
        <v>128</v>
      </c>
    </row>
    <row r="19" spans="4:8" ht="14.25" thickBot="1">
      <c r="D19" s="82" t="s">
        <v>120</v>
      </c>
      <c r="E19" s="83" t="s">
        <v>130</v>
      </c>
      <c r="F19" s="83" t="s">
        <v>130</v>
      </c>
      <c r="G19" s="83" t="s">
        <v>128</v>
      </c>
      <c r="H19" s="84" t="s">
        <v>128</v>
      </c>
    </row>
    <row r="20" spans="4:8" ht="14.25" thickBot="1">
      <c r="D20" s="79" t="s">
        <v>121</v>
      </c>
      <c r="E20" s="80" t="s">
        <v>128</v>
      </c>
      <c r="F20" s="80" t="s">
        <v>128</v>
      </c>
      <c r="G20" s="80" t="s">
        <v>128</v>
      </c>
      <c r="H20" s="81" t="s">
        <v>128</v>
      </c>
    </row>
    <row r="21" spans="4:8" ht="14.25" thickBot="1">
      <c r="D21" s="82" t="s">
        <v>122</v>
      </c>
      <c r="E21" s="83" t="s">
        <v>128</v>
      </c>
      <c r="F21" s="83" t="s">
        <v>129</v>
      </c>
      <c r="G21" s="83" t="s">
        <v>128</v>
      </c>
      <c r="H21" s="84" t="s">
        <v>129</v>
      </c>
    </row>
    <row r="22" spans="4:8" ht="14.25" thickBot="1">
      <c r="D22" s="79" t="s">
        <v>123</v>
      </c>
      <c r="E22" s="80" t="s">
        <v>129</v>
      </c>
      <c r="F22" s="80" t="s">
        <v>128</v>
      </c>
      <c r="G22" s="80" t="s">
        <v>129</v>
      </c>
      <c r="H22" s="81" t="s">
        <v>128</v>
      </c>
    </row>
  </sheetData>
  <mergeCells count="3">
    <mergeCell ref="E15:F15"/>
    <mergeCell ref="G15:H15"/>
    <mergeCell ref="D14:H14"/>
  </mergeCells>
  <phoneticPr fontId="14" type="noConversion"/>
  <hyperlinks>
    <hyperlink ref="B2" location="欧式定价!A1" display="欧式定价"/>
    <hyperlink ref="B3" location="隐含波动率!A1" display="隐含波动率"/>
    <hyperlink ref="B4" location="股票期权与股票等比率组合!A1" display="股票期权与股票等比率组合"/>
    <hyperlink ref="B5" location="'差价组合(bull&amp;bear spreads)'!A1" display="差价组合(bull&amp;bear spreads)"/>
    <hyperlink ref="B6" location="'蝶式差价组合(butterfly spreads)'!A1" display="蝶式差价组合(butterfly spreads)"/>
    <hyperlink ref="B7" location="'差期组合(calendar spreads)'!A1" display="差期组合(calendar spreads)"/>
    <hyperlink ref="B8" location="'跨式组合(straddle)'!A1" display="跨式组合(straddle)"/>
    <hyperlink ref="B9" location="'条式组合(strips)'!A1" display="条式组合(strips)"/>
    <hyperlink ref="B10" location="'带式组合(straps)'!A1" display="带式组合(straps)"/>
    <hyperlink ref="B11" location="'宽跨式组合(strangles)'!A1" display="宽跨式组合(strangles)"/>
    <hyperlink ref="B12" location="'对角组合(diagonal spreads)'!A1" display="对角组合(diagonal spreads)"/>
    <hyperlink ref="B13" location="期权套利模块!A1" display="套利模块"/>
    <hyperlink ref="B14" location="Garch!A1" display="波动率估计（volatility estimate）"/>
  </hyperlink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J26"/>
  <sheetViews>
    <sheetView workbookViewId="0"/>
  </sheetViews>
  <sheetFormatPr defaultRowHeight="13.5"/>
  <cols>
    <col min="1" max="1" width="16.375" style="2" customWidth="1"/>
    <col min="2" max="2" width="9.25" style="2" customWidth="1"/>
    <col min="3" max="3" width="10" style="2" customWidth="1"/>
    <col min="4" max="5" width="9" style="2"/>
    <col min="6" max="6" width="9.375" style="2" customWidth="1"/>
    <col min="7" max="7" width="9.5" style="2" customWidth="1"/>
    <col min="8" max="8" width="9.625" style="2" customWidth="1"/>
    <col min="9" max="16384" width="9" style="2"/>
  </cols>
  <sheetData>
    <row r="1" spans="1:10" ht="15.75">
      <c r="A1" s="34" t="s">
        <v>25</v>
      </c>
      <c r="B1" s="15"/>
      <c r="D1" s="20"/>
      <c r="E1" s="20"/>
      <c r="F1" s="20"/>
      <c r="G1" s="20"/>
      <c r="H1" s="20"/>
    </row>
    <row r="2" spans="1:10" ht="15">
      <c r="A2" s="16" t="s">
        <v>2</v>
      </c>
      <c r="B2" s="19"/>
      <c r="C2" s="3"/>
      <c r="D2" s="22"/>
      <c r="E2" s="24" t="s">
        <v>22</v>
      </c>
      <c r="F2" s="33">
        <v>5</v>
      </c>
      <c r="G2" s="24"/>
      <c r="H2" s="24" t="s">
        <v>22</v>
      </c>
      <c r="I2" s="33">
        <v>5</v>
      </c>
      <c r="J2" s="24"/>
    </row>
    <row r="3" spans="1:10" ht="15.75" customHeight="1">
      <c r="A3" s="4"/>
      <c r="B3" s="23"/>
      <c r="C3" s="5"/>
      <c r="D3" s="22"/>
      <c r="E3" s="24" t="s">
        <v>20</v>
      </c>
      <c r="F3" s="24" t="s">
        <v>24</v>
      </c>
      <c r="G3" s="24" t="s">
        <v>21</v>
      </c>
      <c r="H3" s="24" t="s">
        <v>20</v>
      </c>
      <c r="I3" s="24" t="s">
        <v>23</v>
      </c>
      <c r="J3" s="24" t="s">
        <v>21</v>
      </c>
    </row>
    <row r="4" spans="1:10" ht="15">
      <c r="A4" s="24"/>
      <c r="B4" s="24" t="s">
        <v>8</v>
      </c>
      <c r="C4" s="12">
        <v>2300</v>
      </c>
      <c r="D4" s="5"/>
      <c r="E4" s="24"/>
      <c r="F4" s="31" t="e">
        <f ca="1">C15</f>
        <v>#NAME?</v>
      </c>
      <c r="G4" s="31">
        <f>MAX(C4-C5,0)</f>
        <v>0</v>
      </c>
      <c r="H4" s="24"/>
      <c r="I4" s="31" t="e">
        <f ca="1">C16</f>
        <v>#NAME?</v>
      </c>
      <c r="J4" s="31">
        <f>MAX(C5-C4,0)</f>
        <v>100</v>
      </c>
    </row>
    <row r="5" spans="1:10" ht="15.75">
      <c r="A5" s="24"/>
      <c r="B5" s="24" t="s">
        <v>14</v>
      </c>
      <c r="C5" s="12">
        <v>2400</v>
      </c>
      <c r="D5" s="5"/>
      <c r="E5" s="32">
        <f>C5-40+F2</f>
        <v>2365</v>
      </c>
      <c r="F5" s="31" t="e">
        <f t="dataTable" ref="F5:F20" dt2D="0" dtr="0" r1="C4" ca="1"/>
        <v>#NAME?</v>
      </c>
      <c r="G5" s="31">
        <f>MAX(E5-$C$5,0)</f>
        <v>0</v>
      </c>
      <c r="H5" s="32">
        <f>E5</f>
        <v>2365</v>
      </c>
      <c r="I5" s="31" t="e">
        <f t="dataTable" ref="I5:I20" dt2D="0" dtr="0" r1="C4" ca="1"/>
        <v>#NAME?</v>
      </c>
      <c r="J5" s="31">
        <f>MAX($C$5-H5,0)</f>
        <v>35</v>
      </c>
    </row>
    <row r="6" spans="1:10" ht="15.75">
      <c r="A6" s="24"/>
      <c r="B6" s="24" t="s">
        <v>15</v>
      </c>
      <c r="C6" s="14">
        <v>0.5</v>
      </c>
      <c r="D6" s="5"/>
      <c r="E6" s="32">
        <f t="shared" ref="E6:E20" si="0">E5+$F$2</f>
        <v>2370</v>
      </c>
      <c r="F6" s="31" t="e">
        <v>#NAME?</v>
      </c>
      <c r="G6" s="31">
        <f t="shared" ref="G6:G20" si="1">MAX(E6-$C$5,0)</f>
        <v>0</v>
      </c>
      <c r="H6" s="32">
        <f t="shared" ref="H6:H20" si="2">H5+$F$2</f>
        <v>2370</v>
      </c>
      <c r="I6" s="31" t="e">
        <v>#NAME?</v>
      </c>
      <c r="J6" s="31">
        <f t="shared" ref="J6:J20" si="3">MAX($C$5-H6,0)</f>
        <v>30</v>
      </c>
    </row>
    <row r="7" spans="1:10" ht="15.75">
      <c r="A7" s="24"/>
      <c r="B7" s="24" t="s">
        <v>16</v>
      </c>
      <c r="C7" s="13">
        <v>0.05</v>
      </c>
      <c r="D7" s="5"/>
      <c r="E7" s="32">
        <f t="shared" si="0"/>
        <v>2375</v>
      </c>
      <c r="F7" s="31" t="e">
        <v>#NAME?</v>
      </c>
      <c r="G7" s="31">
        <f t="shared" si="1"/>
        <v>0</v>
      </c>
      <c r="H7" s="32">
        <f t="shared" si="2"/>
        <v>2375</v>
      </c>
      <c r="I7" s="31" t="e">
        <v>#NAME?</v>
      </c>
      <c r="J7" s="31">
        <f t="shared" si="3"/>
        <v>25</v>
      </c>
    </row>
    <row r="8" spans="1:10" ht="15.75">
      <c r="A8" s="24"/>
      <c r="B8" s="24" t="s">
        <v>17</v>
      </c>
      <c r="C8" s="13">
        <v>0.14199999999999999</v>
      </c>
      <c r="D8" s="5"/>
      <c r="E8" s="32">
        <f t="shared" si="0"/>
        <v>2380</v>
      </c>
      <c r="F8" s="31" t="e">
        <v>#NAME?</v>
      </c>
      <c r="G8" s="31">
        <f t="shared" si="1"/>
        <v>0</v>
      </c>
      <c r="H8" s="32">
        <f t="shared" si="2"/>
        <v>2380</v>
      </c>
      <c r="I8" s="31" t="e">
        <v>#NAME?</v>
      </c>
      <c r="J8" s="31">
        <f t="shared" si="3"/>
        <v>20</v>
      </c>
    </row>
    <row r="9" spans="1:10" ht="15">
      <c r="A9" s="24"/>
      <c r="B9" s="24" t="s">
        <v>18</v>
      </c>
      <c r="C9" s="13">
        <v>0</v>
      </c>
      <c r="D9" s="5"/>
      <c r="E9" s="32">
        <f t="shared" si="0"/>
        <v>2385</v>
      </c>
      <c r="F9" s="31" t="e">
        <v>#NAME?</v>
      </c>
      <c r="G9" s="31">
        <f t="shared" si="1"/>
        <v>0</v>
      </c>
      <c r="H9" s="32">
        <f t="shared" si="2"/>
        <v>2385</v>
      </c>
      <c r="I9" s="31" t="e">
        <v>#NAME?</v>
      </c>
      <c r="J9" s="31">
        <f t="shared" si="3"/>
        <v>15</v>
      </c>
    </row>
    <row r="10" spans="1:10" ht="15">
      <c r="D10" s="23"/>
      <c r="E10" s="32">
        <f t="shared" si="0"/>
        <v>2390</v>
      </c>
      <c r="F10" s="31" t="e">
        <v>#NAME?</v>
      </c>
      <c r="G10" s="31">
        <f t="shared" si="1"/>
        <v>0</v>
      </c>
      <c r="H10" s="32">
        <f t="shared" si="2"/>
        <v>2390</v>
      </c>
      <c r="I10" s="31" t="e">
        <v>#NAME?</v>
      </c>
      <c r="J10" s="31">
        <f t="shared" si="3"/>
        <v>10</v>
      </c>
    </row>
    <row r="11" spans="1:10" ht="15">
      <c r="A11" s="17" t="s">
        <v>3</v>
      </c>
      <c r="B11" s="25"/>
      <c r="C11" s="9"/>
      <c r="D11" s="7"/>
      <c r="E11" s="32">
        <f t="shared" si="0"/>
        <v>2395</v>
      </c>
      <c r="F11" s="31" t="e">
        <v>#NAME?</v>
      </c>
      <c r="G11" s="31">
        <f t="shared" si="1"/>
        <v>0</v>
      </c>
      <c r="H11" s="32">
        <f t="shared" si="2"/>
        <v>2395</v>
      </c>
      <c r="I11" s="31" t="e">
        <v>#NAME?</v>
      </c>
      <c r="J11" s="31">
        <f t="shared" si="3"/>
        <v>5</v>
      </c>
    </row>
    <row r="12" spans="1:10" ht="15">
      <c r="A12" s="10"/>
      <c r="B12" s="26"/>
      <c r="C12" s="8"/>
      <c r="D12" s="7"/>
      <c r="E12" s="32">
        <f t="shared" si="0"/>
        <v>2400</v>
      </c>
      <c r="F12" s="31" t="e">
        <v>#NAME?</v>
      </c>
      <c r="G12" s="31">
        <f t="shared" si="1"/>
        <v>0</v>
      </c>
      <c r="H12" s="32">
        <f t="shared" si="2"/>
        <v>2400</v>
      </c>
      <c r="I12" s="31" t="e">
        <v>#NAME?</v>
      </c>
      <c r="J12" s="31">
        <f t="shared" si="3"/>
        <v>0</v>
      </c>
    </row>
    <row r="13" spans="1:10" ht="15">
      <c r="A13" s="20"/>
      <c r="B13" s="24" t="s">
        <v>0</v>
      </c>
      <c r="C13" s="29" t="e">
        <f ca="1">done(C4,C5,C6,C7,C8)</f>
        <v>#NAME?</v>
      </c>
      <c r="D13" s="7"/>
      <c r="E13" s="32">
        <f t="shared" si="0"/>
        <v>2405</v>
      </c>
      <c r="F13" s="31" t="e">
        <v>#NAME?</v>
      </c>
      <c r="G13" s="31">
        <f t="shared" si="1"/>
        <v>5</v>
      </c>
      <c r="H13" s="32">
        <f t="shared" si="2"/>
        <v>2405</v>
      </c>
      <c r="I13" s="31" t="e">
        <v>#NAME?</v>
      </c>
      <c r="J13" s="31">
        <f t="shared" si="3"/>
        <v>0</v>
      </c>
    </row>
    <row r="14" spans="1:10" ht="15">
      <c r="A14" s="20"/>
      <c r="B14" s="24" t="s">
        <v>1</v>
      </c>
      <c r="C14" s="29" t="e">
        <f ca="1">dtwo(C4,C5,C6,C7,C8)</f>
        <v>#NAME?</v>
      </c>
      <c r="D14" s="7"/>
      <c r="E14" s="32">
        <f t="shared" si="0"/>
        <v>2410</v>
      </c>
      <c r="F14" s="31" t="e">
        <v>#NAME?</v>
      </c>
      <c r="G14" s="31">
        <f t="shared" si="1"/>
        <v>10</v>
      </c>
      <c r="H14" s="32">
        <f t="shared" si="2"/>
        <v>2410</v>
      </c>
      <c r="I14" s="31" t="e">
        <v>#NAME?</v>
      </c>
      <c r="J14" s="31">
        <f t="shared" si="3"/>
        <v>0</v>
      </c>
    </row>
    <row r="15" spans="1:10" ht="15">
      <c r="B15" s="28" t="s">
        <v>6</v>
      </c>
      <c r="C15" s="29" t="e">
        <f ca="1">bscall(C4,C5,C6,C7,C8)</f>
        <v>#NAME?</v>
      </c>
      <c r="D15" s="7"/>
      <c r="E15" s="32">
        <f t="shared" si="0"/>
        <v>2415</v>
      </c>
      <c r="F15" s="31" t="e">
        <v>#NAME?</v>
      </c>
      <c r="G15" s="31">
        <f t="shared" si="1"/>
        <v>15</v>
      </c>
      <c r="H15" s="32">
        <f t="shared" si="2"/>
        <v>2415</v>
      </c>
      <c r="I15" s="31" t="e">
        <v>#NAME?</v>
      </c>
      <c r="J15" s="31">
        <f t="shared" si="3"/>
        <v>0</v>
      </c>
    </row>
    <row r="16" spans="1:10" ht="15">
      <c r="B16" s="28" t="s">
        <v>7</v>
      </c>
      <c r="C16" s="29" t="e">
        <f ca="1">bsput(C4,C5,C6,C7,C8)</f>
        <v>#NAME?</v>
      </c>
      <c r="D16" s="7"/>
      <c r="E16" s="32">
        <f t="shared" si="0"/>
        <v>2420</v>
      </c>
      <c r="F16" s="31" t="e">
        <v>#NAME?</v>
      </c>
      <c r="G16" s="31">
        <f t="shared" si="1"/>
        <v>20</v>
      </c>
      <c r="H16" s="32">
        <f t="shared" si="2"/>
        <v>2420</v>
      </c>
      <c r="I16" s="31" t="e">
        <v>#NAME?</v>
      </c>
      <c r="J16" s="31">
        <f t="shared" si="3"/>
        <v>0</v>
      </c>
    </row>
    <row r="17" spans="1:10" ht="15">
      <c r="A17" s="11"/>
      <c r="B17" s="27"/>
      <c r="C17" s="6"/>
      <c r="D17" s="1"/>
      <c r="E17" s="32">
        <f t="shared" si="0"/>
        <v>2425</v>
      </c>
      <c r="F17" s="31" t="e">
        <v>#NAME?</v>
      </c>
      <c r="G17" s="31">
        <f t="shared" si="1"/>
        <v>25</v>
      </c>
      <c r="H17" s="32">
        <f t="shared" si="2"/>
        <v>2425</v>
      </c>
      <c r="I17" s="31" t="e">
        <v>#NAME?</v>
      </c>
      <c r="J17" s="31">
        <f t="shared" si="3"/>
        <v>0</v>
      </c>
    </row>
    <row r="18" spans="1:10">
      <c r="A18" s="18" t="s">
        <v>19</v>
      </c>
      <c r="E18" s="32">
        <f t="shared" si="0"/>
        <v>2430</v>
      </c>
      <c r="F18" s="31" t="e">
        <v>#NAME?</v>
      </c>
      <c r="G18" s="31">
        <f t="shared" si="1"/>
        <v>30</v>
      </c>
      <c r="H18" s="32">
        <f t="shared" si="2"/>
        <v>2430</v>
      </c>
      <c r="I18" s="31" t="e">
        <v>#NAME?</v>
      </c>
      <c r="J18" s="31">
        <f t="shared" si="3"/>
        <v>0</v>
      </c>
    </row>
    <row r="19" spans="1:10">
      <c r="E19" s="32">
        <f t="shared" si="0"/>
        <v>2435</v>
      </c>
      <c r="F19" s="31" t="e">
        <v>#NAME?</v>
      </c>
      <c r="G19" s="31">
        <f t="shared" si="1"/>
        <v>35</v>
      </c>
      <c r="H19" s="32">
        <f t="shared" si="2"/>
        <v>2435</v>
      </c>
      <c r="I19" s="31" t="e">
        <v>#NAME?</v>
      </c>
      <c r="J19" s="31">
        <f t="shared" si="3"/>
        <v>0</v>
      </c>
    </row>
    <row r="20" spans="1:10">
      <c r="A20" s="21"/>
      <c r="B20" s="21" t="s">
        <v>4</v>
      </c>
      <c r="C20" s="21" t="s">
        <v>5</v>
      </c>
      <c r="E20" s="32">
        <f t="shared" si="0"/>
        <v>2440</v>
      </c>
      <c r="F20" s="31" t="e">
        <v>#NAME?</v>
      </c>
      <c r="G20" s="31">
        <f t="shared" si="1"/>
        <v>40</v>
      </c>
      <c r="H20" s="32">
        <f t="shared" si="2"/>
        <v>2440</v>
      </c>
      <c r="I20" s="31" t="e">
        <v>#NAME?</v>
      </c>
      <c r="J20" s="31">
        <f t="shared" si="3"/>
        <v>0</v>
      </c>
    </row>
    <row r="21" spans="1:10">
      <c r="A21" s="24" t="s">
        <v>9</v>
      </c>
      <c r="B21" s="29" t="e">
        <f ca="1">EXP(-C9*C6)*NORMSDIST(C13)</f>
        <v>#NAME?</v>
      </c>
      <c r="C21" s="29" t="e">
        <f ca="1">-EXP(-C9*C6)*NORMSDIST(-C13)</f>
        <v>#NAME?</v>
      </c>
      <c r="E21" s="30"/>
    </row>
    <row r="22" spans="1:10">
      <c r="A22" s="24" t="s">
        <v>10</v>
      </c>
      <c r="B22" s="29" t="e">
        <f ca="1">EXP(C13^2/2-C9*C6)/(C4*C8*SQRT(2*C6*PI()))</f>
        <v>#NAME?</v>
      </c>
      <c r="C22" s="29" t="e">
        <f ca="1">EXP((C13^2)/2-C9*C6)/(C4*C8*SQRT(2*C6*PI()))</f>
        <v>#NAME?</v>
      </c>
    </row>
    <row r="23" spans="1:10">
      <c r="A23" s="24" t="s">
        <v>11</v>
      </c>
      <c r="B23" s="29" t="e">
        <f ca="1">C4*SQRT(C6)*EXP(-(C13^2)/2)*EXP(-C9*C6)/SQRT(2*PI())</f>
        <v>#NAME?</v>
      </c>
      <c r="C23" s="29" t="e">
        <f ca="1">C4*EXP(-(C13^2)/2-C9*C6)*SQRT(C6)/SQRT(2*PI())</f>
        <v>#NAME?</v>
      </c>
    </row>
    <row r="24" spans="1:10">
      <c r="A24" s="24" t="s">
        <v>12</v>
      </c>
      <c r="B24" s="29" t="e">
        <f ca="1">-C4*EXP(-(C13^2)/2-C9*C6)*C8/SQRT(8*C6*PI())+C9*C4*EXP(-C9*C6)*J11-C7*C5*EXP(-C7*C6)*J12</f>
        <v>#NAME?</v>
      </c>
      <c r="C24" s="29" t="e">
        <f ca="1">-C4*EXP(-(C13^2)/2-C9*C6)*C8/SQRT(8*C6*PI())-C9*C4*EXP(-C9*C6)*(1-J11)+C7*C5*EXP(-C7*C6)*(1-J12)</f>
        <v>#NAME?</v>
      </c>
    </row>
    <row r="25" spans="1:10">
      <c r="A25" s="24" t="s">
        <v>13</v>
      </c>
      <c r="B25" s="29" t="e">
        <f ca="1">C5*C6*EXP(-C7*C6)*NORMSDIST(C14)</f>
        <v>#NAME?</v>
      </c>
      <c r="C25" s="29" t="e">
        <f ca="1">-C5*C6*EXP(-C7*C6)*NORMSDIST(-C14)</f>
        <v>#NAME?</v>
      </c>
    </row>
    <row r="26" spans="1:10" ht="15">
      <c r="A26" s="11"/>
      <c r="B26" s="27"/>
      <c r="C26" s="6"/>
      <c r="D26" s="1"/>
    </row>
  </sheetData>
  <protectedRanges>
    <protectedRange sqref="C4:C8" name="区域1"/>
  </protectedRanges>
  <phoneticPr fontId="5" type="noConversion"/>
  <pageMargins left="0.7" right="0.7" top="0.75" bottom="0.75" header="0.3" footer="0.3"/>
  <pageSetup paperSize="9" orientation="portrait" horizontalDpi="200" verticalDpi="200" r:id="rId1"/>
  <drawing r:id="rId2"/>
  <legacyDrawing r:id="rId3"/>
  <controls>
    <control shapeId="21507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15"/>
  <sheetViews>
    <sheetView workbookViewId="0">
      <selection activeCell="I35" sqref="I35"/>
    </sheetView>
  </sheetViews>
  <sheetFormatPr defaultRowHeight="13.5"/>
  <cols>
    <col min="1" max="1" width="16.375" style="2" customWidth="1"/>
    <col min="2" max="3" width="8.5" style="2" bestFit="1" customWidth="1"/>
    <col min="4" max="16384" width="9" style="2"/>
  </cols>
  <sheetData>
    <row r="1" spans="1:6" ht="15.75">
      <c r="A1" s="34" t="s">
        <v>25</v>
      </c>
      <c r="B1" s="15"/>
      <c r="D1" s="20"/>
    </row>
    <row r="2" spans="1:6" ht="15">
      <c r="A2" s="16" t="s">
        <v>2</v>
      </c>
      <c r="B2" s="19"/>
      <c r="C2" s="3"/>
      <c r="D2" s="22"/>
      <c r="E2" s="24" t="s">
        <v>28</v>
      </c>
      <c r="F2" s="36" t="s">
        <v>29</v>
      </c>
    </row>
    <row r="3" spans="1:6" ht="15.75" customHeight="1">
      <c r="A3" s="4"/>
      <c r="B3" s="23"/>
      <c r="C3" s="35">
        <v>2</v>
      </c>
      <c r="D3" s="22"/>
      <c r="E3" s="24"/>
      <c r="F3" s="37" t="e">
        <f ca="1">C11</f>
        <v>#NAME?</v>
      </c>
    </row>
    <row r="4" spans="1:6" ht="15">
      <c r="A4" s="24"/>
      <c r="B4" s="24" t="s">
        <v>8</v>
      </c>
      <c r="C4" s="12">
        <v>2300</v>
      </c>
      <c r="D4" s="5"/>
      <c r="E4" s="24">
        <f>C8/2+C3</f>
        <v>20.5</v>
      </c>
      <c r="F4" s="37" t="e">
        <f t="dataTable" ref="F4:F15" dt2D="0" dtr="0" r1="C8" ca="1"/>
        <v>#NAME?</v>
      </c>
    </row>
    <row r="5" spans="1:6" ht="15.75">
      <c r="A5" s="24"/>
      <c r="B5" s="24" t="s">
        <v>14</v>
      </c>
      <c r="C5" s="12">
        <v>2300</v>
      </c>
      <c r="D5" s="5"/>
      <c r="E5" s="24">
        <f>E4+$C$3</f>
        <v>22.5</v>
      </c>
      <c r="F5" s="37" t="e">
        <v>#NAME?</v>
      </c>
    </row>
    <row r="6" spans="1:6" ht="15.75">
      <c r="A6" s="24"/>
      <c r="B6" s="24" t="s">
        <v>15</v>
      </c>
      <c r="C6" s="14">
        <f>30/365</f>
        <v>8.2191780821917804E-2</v>
      </c>
      <c r="D6" s="5"/>
      <c r="E6" s="24">
        <f t="shared" ref="E6:E15" si="0">E5+$C$3</f>
        <v>24.5</v>
      </c>
      <c r="F6" s="37" t="e">
        <v>#NAME?</v>
      </c>
    </row>
    <row r="7" spans="1:6" ht="15.75">
      <c r="A7" s="24"/>
      <c r="B7" s="24" t="s">
        <v>16</v>
      </c>
      <c r="C7" s="13">
        <v>0.03</v>
      </c>
      <c r="D7" s="5"/>
      <c r="E7" s="24">
        <f t="shared" si="0"/>
        <v>26.5</v>
      </c>
      <c r="F7" s="37" t="e">
        <v>#NAME?</v>
      </c>
    </row>
    <row r="8" spans="1:6" ht="15">
      <c r="A8" s="24"/>
      <c r="B8" s="24" t="s">
        <v>26</v>
      </c>
      <c r="C8" s="12">
        <v>37</v>
      </c>
      <c r="D8" s="5"/>
      <c r="E8" s="24">
        <f t="shared" si="0"/>
        <v>28.5</v>
      </c>
      <c r="F8" s="37" t="e">
        <v>#NAME?</v>
      </c>
    </row>
    <row r="9" spans="1:6">
      <c r="E9" s="24">
        <f t="shared" si="0"/>
        <v>30.5</v>
      </c>
      <c r="F9" s="37" t="e">
        <v>#NAME?</v>
      </c>
    </row>
    <row r="10" spans="1:6">
      <c r="E10" s="24">
        <f t="shared" si="0"/>
        <v>32.5</v>
      </c>
      <c r="F10" s="37" t="e">
        <v>#NAME?</v>
      </c>
    </row>
    <row r="11" spans="1:6">
      <c r="B11" s="24" t="s">
        <v>27</v>
      </c>
      <c r="C11" s="13" t="e">
        <f ca="1">CallVolatility(C4,C5,C6,C7,C8)</f>
        <v>#NAME?</v>
      </c>
      <c r="E11" s="24">
        <f t="shared" si="0"/>
        <v>34.5</v>
      </c>
      <c r="F11" s="37" t="e">
        <v>#NAME?</v>
      </c>
    </row>
    <row r="12" spans="1:6">
      <c r="E12" s="24">
        <f t="shared" si="0"/>
        <v>36.5</v>
      </c>
      <c r="F12" s="37" t="e">
        <v>#NAME?</v>
      </c>
    </row>
    <row r="13" spans="1:6">
      <c r="E13" s="24">
        <f t="shared" si="0"/>
        <v>38.5</v>
      </c>
      <c r="F13" s="37" t="e">
        <v>#NAME?</v>
      </c>
    </row>
    <row r="14" spans="1:6">
      <c r="E14" s="24">
        <f t="shared" si="0"/>
        <v>40.5</v>
      </c>
      <c r="F14" s="37" t="e">
        <v>#NAME?</v>
      </c>
    </row>
    <row r="15" spans="1:6">
      <c r="E15" s="24">
        <f t="shared" si="0"/>
        <v>42.5</v>
      </c>
      <c r="F15" s="37" t="e">
        <v>#NAME?</v>
      </c>
    </row>
  </sheetData>
  <protectedRanges>
    <protectedRange sqref="C4:C7" name="区域1"/>
  </protectedRanges>
  <phoneticPr fontId="5" type="noConversion"/>
  <pageMargins left="0.7" right="0.7" top="0.75" bottom="0.75" header="0.3" footer="0.3"/>
  <pageSetup paperSize="9" orientation="portrait" horizontalDpi="200" verticalDpi="200" r:id="rId1"/>
  <drawing r:id="rId2"/>
  <legacyDrawing r:id="rId3"/>
  <controls>
    <control shapeId="31745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H35"/>
  <sheetViews>
    <sheetView workbookViewId="0">
      <selection activeCell="K31" sqref="K31"/>
    </sheetView>
  </sheetViews>
  <sheetFormatPr defaultRowHeight="15" customHeight="1"/>
  <cols>
    <col min="1" max="1" width="22.5" style="20" customWidth="1"/>
    <col min="2" max="8" width="9" style="20"/>
    <col min="9" max="234" width="9" style="2"/>
    <col min="235" max="235" width="22.5" style="2" customWidth="1"/>
    <col min="236" max="490" width="9" style="2"/>
    <col min="491" max="491" width="22.5" style="2" customWidth="1"/>
    <col min="492" max="746" width="9" style="2"/>
    <col min="747" max="747" width="22.5" style="2" customWidth="1"/>
    <col min="748" max="1002" width="9" style="2"/>
    <col min="1003" max="1003" width="22.5" style="2" customWidth="1"/>
    <col min="1004" max="1258" width="9" style="2"/>
    <col min="1259" max="1259" width="22.5" style="2" customWidth="1"/>
    <col min="1260" max="1514" width="9" style="2"/>
    <col min="1515" max="1515" width="22.5" style="2" customWidth="1"/>
    <col min="1516" max="1770" width="9" style="2"/>
    <col min="1771" max="1771" width="22.5" style="2" customWidth="1"/>
    <col min="1772" max="2026" width="9" style="2"/>
    <col min="2027" max="2027" width="22.5" style="2" customWidth="1"/>
    <col min="2028" max="2282" width="9" style="2"/>
    <col min="2283" max="2283" width="22.5" style="2" customWidth="1"/>
    <col min="2284" max="2538" width="9" style="2"/>
    <col min="2539" max="2539" width="22.5" style="2" customWidth="1"/>
    <col min="2540" max="2794" width="9" style="2"/>
    <col min="2795" max="2795" width="22.5" style="2" customWidth="1"/>
    <col min="2796" max="3050" width="9" style="2"/>
    <col min="3051" max="3051" width="22.5" style="2" customWidth="1"/>
    <col min="3052" max="3306" width="9" style="2"/>
    <col min="3307" max="3307" width="22.5" style="2" customWidth="1"/>
    <col min="3308" max="3562" width="9" style="2"/>
    <col min="3563" max="3563" width="22.5" style="2" customWidth="1"/>
    <col min="3564" max="3818" width="9" style="2"/>
    <col min="3819" max="3819" width="22.5" style="2" customWidth="1"/>
    <col min="3820" max="4074" width="9" style="2"/>
    <col min="4075" max="4075" width="22.5" style="2" customWidth="1"/>
    <col min="4076" max="4330" width="9" style="2"/>
    <col min="4331" max="4331" width="22.5" style="2" customWidth="1"/>
    <col min="4332" max="4586" width="9" style="2"/>
    <col min="4587" max="4587" width="22.5" style="2" customWidth="1"/>
    <col min="4588" max="4842" width="9" style="2"/>
    <col min="4843" max="4843" width="22.5" style="2" customWidth="1"/>
    <col min="4844" max="5098" width="9" style="2"/>
    <col min="5099" max="5099" width="22.5" style="2" customWidth="1"/>
    <col min="5100" max="5354" width="9" style="2"/>
    <col min="5355" max="5355" width="22.5" style="2" customWidth="1"/>
    <col min="5356" max="5610" width="9" style="2"/>
    <col min="5611" max="5611" width="22.5" style="2" customWidth="1"/>
    <col min="5612" max="5866" width="9" style="2"/>
    <col min="5867" max="5867" width="22.5" style="2" customWidth="1"/>
    <col min="5868" max="6122" width="9" style="2"/>
    <col min="6123" max="6123" width="22.5" style="2" customWidth="1"/>
    <col min="6124" max="6378" width="9" style="2"/>
    <col min="6379" max="6379" width="22.5" style="2" customWidth="1"/>
    <col min="6380" max="6634" width="9" style="2"/>
    <col min="6635" max="6635" width="22.5" style="2" customWidth="1"/>
    <col min="6636" max="6890" width="9" style="2"/>
    <col min="6891" max="6891" width="22.5" style="2" customWidth="1"/>
    <col min="6892" max="7146" width="9" style="2"/>
    <col min="7147" max="7147" width="22.5" style="2" customWidth="1"/>
    <col min="7148" max="7402" width="9" style="2"/>
    <col min="7403" max="7403" width="22.5" style="2" customWidth="1"/>
    <col min="7404" max="7658" width="9" style="2"/>
    <col min="7659" max="7659" width="22.5" style="2" customWidth="1"/>
    <col min="7660" max="7914" width="9" style="2"/>
    <col min="7915" max="7915" width="22.5" style="2" customWidth="1"/>
    <col min="7916" max="8170" width="9" style="2"/>
    <col min="8171" max="8171" width="22.5" style="2" customWidth="1"/>
    <col min="8172" max="8426" width="9" style="2"/>
    <col min="8427" max="8427" width="22.5" style="2" customWidth="1"/>
    <col min="8428" max="8682" width="9" style="2"/>
    <col min="8683" max="8683" width="22.5" style="2" customWidth="1"/>
    <col min="8684" max="8938" width="9" style="2"/>
    <col min="8939" max="8939" width="22.5" style="2" customWidth="1"/>
    <col min="8940" max="9194" width="9" style="2"/>
    <col min="9195" max="9195" width="22.5" style="2" customWidth="1"/>
    <col min="9196" max="9450" width="9" style="2"/>
    <col min="9451" max="9451" width="22.5" style="2" customWidth="1"/>
    <col min="9452" max="9706" width="9" style="2"/>
    <col min="9707" max="9707" width="22.5" style="2" customWidth="1"/>
    <col min="9708" max="9962" width="9" style="2"/>
    <col min="9963" max="9963" width="22.5" style="2" customWidth="1"/>
    <col min="9964" max="10218" width="9" style="2"/>
    <col min="10219" max="10219" width="22.5" style="2" customWidth="1"/>
    <col min="10220" max="10474" width="9" style="2"/>
    <col min="10475" max="10475" width="22.5" style="2" customWidth="1"/>
    <col min="10476" max="10730" width="9" style="2"/>
    <col min="10731" max="10731" width="22.5" style="2" customWidth="1"/>
    <col min="10732" max="10986" width="9" style="2"/>
    <col min="10987" max="10987" width="22.5" style="2" customWidth="1"/>
    <col min="10988" max="11242" width="9" style="2"/>
    <col min="11243" max="11243" width="22.5" style="2" customWidth="1"/>
    <col min="11244" max="11498" width="9" style="2"/>
    <col min="11499" max="11499" width="22.5" style="2" customWidth="1"/>
    <col min="11500" max="11754" width="9" style="2"/>
    <col min="11755" max="11755" width="22.5" style="2" customWidth="1"/>
    <col min="11756" max="12010" width="9" style="2"/>
    <col min="12011" max="12011" width="22.5" style="2" customWidth="1"/>
    <col min="12012" max="12266" width="9" style="2"/>
    <col min="12267" max="12267" width="22.5" style="2" customWidth="1"/>
    <col min="12268" max="12522" width="9" style="2"/>
    <col min="12523" max="12523" width="22.5" style="2" customWidth="1"/>
    <col min="12524" max="12778" width="9" style="2"/>
    <col min="12779" max="12779" width="22.5" style="2" customWidth="1"/>
    <col min="12780" max="13034" width="9" style="2"/>
    <col min="13035" max="13035" width="22.5" style="2" customWidth="1"/>
    <col min="13036" max="13290" width="9" style="2"/>
    <col min="13291" max="13291" width="22.5" style="2" customWidth="1"/>
    <col min="13292" max="13546" width="9" style="2"/>
    <col min="13547" max="13547" width="22.5" style="2" customWidth="1"/>
    <col min="13548" max="13802" width="9" style="2"/>
    <col min="13803" max="13803" width="22.5" style="2" customWidth="1"/>
    <col min="13804" max="14058" width="9" style="2"/>
    <col min="14059" max="14059" width="22.5" style="2" customWidth="1"/>
    <col min="14060" max="14314" width="9" style="2"/>
    <col min="14315" max="14315" width="22.5" style="2" customWidth="1"/>
    <col min="14316" max="14570" width="9" style="2"/>
    <col min="14571" max="14571" width="22.5" style="2" customWidth="1"/>
    <col min="14572" max="14826" width="9" style="2"/>
    <col min="14827" max="14827" width="22.5" style="2" customWidth="1"/>
    <col min="14828" max="15082" width="9" style="2"/>
    <col min="15083" max="15083" width="22.5" style="2" customWidth="1"/>
    <col min="15084" max="15338" width="9" style="2"/>
    <col min="15339" max="15339" width="22.5" style="2" customWidth="1"/>
    <col min="15340" max="15594" width="9" style="2"/>
    <col min="15595" max="15595" width="22.5" style="2" customWidth="1"/>
    <col min="15596" max="15850" width="9" style="2"/>
    <col min="15851" max="15851" width="22.5" style="2" customWidth="1"/>
    <col min="15852" max="16106" width="9" style="2"/>
    <col min="16107" max="16107" width="22.5" style="2" customWidth="1"/>
    <col min="16108" max="16384" width="9" style="2"/>
  </cols>
  <sheetData>
    <row r="1" spans="1:7" ht="15" customHeight="1">
      <c r="E1" s="73" t="s">
        <v>55</v>
      </c>
    </row>
    <row r="2" spans="1:7" ht="15" customHeight="1">
      <c r="A2" s="74" t="s">
        <v>30</v>
      </c>
      <c r="C2" s="54"/>
      <c r="D2" s="54"/>
      <c r="F2" s="55"/>
    </row>
    <row r="4" spans="1:7" ht="15" customHeight="1">
      <c r="A4" s="48" t="s">
        <v>31</v>
      </c>
      <c r="B4" s="48"/>
      <c r="C4" s="48">
        <v>1</v>
      </c>
      <c r="D4" s="56" t="s">
        <v>41</v>
      </c>
      <c r="E4" s="57" t="str">
        <f>IF(C4=1,"有保护的看涨期权多头",IF(C4=2,"有保护的看涨期权空头",IF(C4=3,"有保护的看跌期权空头","有保护的看跌期权多头")))</f>
        <v>有保护的看涨期权多头</v>
      </c>
    </row>
    <row r="5" spans="1:7" ht="15" customHeight="1">
      <c r="A5" s="45" t="str">
        <f>IF(OR(C4=1,C4=3),"股票空头","股票多头")</f>
        <v>股票空头</v>
      </c>
      <c r="B5" s="48"/>
      <c r="C5" s="48"/>
    </row>
    <row r="6" spans="1:7" ht="15" customHeight="1">
      <c r="A6" s="75" t="s">
        <v>33</v>
      </c>
      <c r="B6" s="48">
        <v>2300</v>
      </c>
      <c r="C6" s="48"/>
      <c r="E6" s="58" t="s">
        <v>43</v>
      </c>
    </row>
    <row r="7" spans="1:7" ht="15" customHeight="1">
      <c r="A7" s="45" t="str">
        <f>IF(C4=1,"看涨期权多头",IF(C4=2,"看涨期权空头",IF(C4=3,"看跌期权空头","看跌期权多头")))</f>
        <v>看涨期权多头</v>
      </c>
      <c r="B7" s="48"/>
      <c r="C7" s="48">
        <v>0</v>
      </c>
      <c r="E7" s="58" t="s">
        <v>44</v>
      </c>
    </row>
    <row r="8" spans="1:7" ht="15" customHeight="1">
      <c r="A8" s="75" t="s">
        <v>34</v>
      </c>
      <c r="B8" s="48">
        <v>2300</v>
      </c>
      <c r="C8" s="48"/>
      <c r="E8" s="58" t="s">
        <v>45</v>
      </c>
    </row>
    <row r="9" spans="1:7" ht="15" customHeight="1">
      <c r="A9" s="75" t="s">
        <v>35</v>
      </c>
      <c r="B9" s="48">
        <v>37</v>
      </c>
      <c r="C9" s="48"/>
      <c r="E9" s="58" t="s">
        <v>46</v>
      </c>
    </row>
    <row r="10" spans="1:7" ht="15" customHeight="1">
      <c r="A10" s="75"/>
      <c r="B10" s="48"/>
      <c r="C10" s="48"/>
    </row>
    <row r="12" spans="1:7" ht="15" customHeight="1">
      <c r="A12" s="74" t="s">
        <v>36</v>
      </c>
    </row>
    <row r="13" spans="1:7" ht="15" customHeight="1">
      <c r="A13" s="75" t="s">
        <v>37</v>
      </c>
      <c r="B13" s="49">
        <v>0</v>
      </c>
      <c r="C13" s="49">
        <f>B8</f>
        <v>2300</v>
      </c>
      <c r="D13" s="49">
        <f>B8*2</f>
        <v>4600</v>
      </c>
      <c r="E13" s="59">
        <f>B8</f>
        <v>2300</v>
      </c>
      <c r="F13" s="59">
        <f>E13</f>
        <v>2300</v>
      </c>
    </row>
    <row r="14" spans="1:7" ht="15" customHeight="1">
      <c r="A14" s="75" t="s">
        <v>42</v>
      </c>
      <c r="B14" s="49">
        <f>IF($A$5="股票多头",B13-$B$6,$B$6-B13)</f>
        <v>2300</v>
      </c>
      <c r="C14" s="49">
        <f>IF($A$5="股票多头",C13-$B$6,$B$6-C13)</f>
        <v>0</v>
      </c>
      <c r="D14" s="49">
        <f>IF($A$5="股票多头",D13-$B$6,$B$6-D13)</f>
        <v>-2300</v>
      </c>
      <c r="F14" s="59"/>
      <c r="G14" s="60"/>
    </row>
    <row r="15" spans="1:7" ht="15" customHeight="1">
      <c r="A15" s="75" t="s">
        <v>38</v>
      </c>
      <c r="B15" s="49">
        <f>IF($A$7="看涨期权多头",MAX(B13-$B$8,0)-$B$9,IF($A$7="看涨期权空头",-MAX(B13-$B$8,0)+$B$9,IF($A$7="看跌期权多头",MAX($B$8-B13,0)-$B$9,-MAX($B$8-B13,0)+$B$9)))</f>
        <v>-37</v>
      </c>
      <c r="C15" s="49">
        <f>IF($A$7="看涨期权多头",MAX(C13-$B$8,0)-$B$9,IF($A$7="看涨期权空头",-MAX(C13-$B$8,0)+$B$9,IF($A$7="看跌期权多头",MAX($B$8-C13,0)-$B$9,-MAX($B$8-C13,0)+$B$9)))</f>
        <v>-37</v>
      </c>
      <c r="D15" s="49">
        <f>IF($A$7="看涨期权多头",MAX(D13-$B$8,0)-$B$9,IF($A$7="看涨期权空头",-MAX(D13-$B$8,0)+$B$9,IF($A$7="看跌期权多头",MAX($B$8-D13,0)-$B$9,-MAX($B$8-D13,0)+$B$9)))</f>
        <v>2263</v>
      </c>
      <c r="F15" s="59"/>
      <c r="G15" s="60"/>
    </row>
    <row r="16" spans="1:7" ht="15" customHeight="1">
      <c r="A16" s="75" t="s">
        <v>39</v>
      </c>
      <c r="B16" s="49">
        <f>B14+B15</f>
        <v>2263</v>
      </c>
      <c r="C16" s="49">
        <f>C14+C15</f>
        <v>-37</v>
      </c>
      <c r="D16" s="49">
        <f>D14+D15</f>
        <v>-37</v>
      </c>
      <c r="F16" s="59"/>
      <c r="G16" s="60"/>
    </row>
    <row r="17" spans="1:6" ht="15" customHeight="1">
      <c r="A17" s="75" t="s">
        <v>40</v>
      </c>
      <c r="B17" s="59"/>
      <c r="C17" s="59"/>
      <c r="D17" s="59"/>
      <c r="E17" s="59">
        <f>B8</f>
        <v>2300</v>
      </c>
      <c r="F17" s="59">
        <f>E17*-1</f>
        <v>-2300</v>
      </c>
    </row>
    <row r="18" spans="1:6" ht="15" customHeight="1">
      <c r="A18" s="48"/>
      <c r="B18" s="48"/>
      <c r="C18" s="48"/>
      <c r="D18" s="48"/>
      <c r="E18" s="48"/>
      <c r="F18" s="48"/>
    </row>
    <row r="32" spans="1:6" ht="15" customHeight="1">
      <c r="B32" s="48"/>
    </row>
    <row r="33" spans="2:2" ht="15" customHeight="1">
      <c r="B33" s="48"/>
    </row>
    <row r="34" spans="2:2" ht="15" customHeight="1">
      <c r="B34" s="48"/>
    </row>
    <row r="35" spans="2:2" ht="15" customHeight="1">
      <c r="B35" s="48"/>
    </row>
  </sheetData>
  <phoneticPr fontId="14" type="noConversion"/>
  <pageMargins left="0.7" right="0.7" top="0.75" bottom="0.75" header="0.3" footer="0.3"/>
  <drawing r:id="rId1"/>
  <legacyDrawing r:id="rId2"/>
  <controls>
    <control shapeId="4098" r:id="rId3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N19"/>
  <sheetViews>
    <sheetView workbookViewId="0">
      <selection activeCell="L29" sqref="L29"/>
    </sheetView>
  </sheetViews>
  <sheetFormatPr defaultRowHeight="15" customHeight="1"/>
  <cols>
    <col min="1" max="1" width="22.875" style="61" customWidth="1"/>
    <col min="2" max="3" width="9" style="61"/>
    <col min="4" max="4" width="9.75" style="61" customWidth="1"/>
    <col min="5" max="8" width="9" style="61"/>
    <col min="9" max="9" width="6.75" style="61" bestFit="1" customWidth="1"/>
    <col min="10" max="256" width="9" style="61"/>
    <col min="257" max="257" width="22.875" style="61" customWidth="1"/>
    <col min="258" max="512" width="9" style="61"/>
    <col min="513" max="513" width="22.875" style="61" customWidth="1"/>
    <col min="514" max="768" width="9" style="61"/>
    <col min="769" max="769" width="22.875" style="61" customWidth="1"/>
    <col min="770" max="1024" width="9" style="61"/>
    <col min="1025" max="1025" width="22.875" style="61" customWidth="1"/>
    <col min="1026" max="1280" width="9" style="61"/>
    <col min="1281" max="1281" width="22.875" style="61" customWidth="1"/>
    <col min="1282" max="1536" width="9" style="61"/>
    <col min="1537" max="1537" width="22.875" style="61" customWidth="1"/>
    <col min="1538" max="1792" width="9" style="61"/>
    <col min="1793" max="1793" width="22.875" style="61" customWidth="1"/>
    <col min="1794" max="2048" width="9" style="61"/>
    <col min="2049" max="2049" width="22.875" style="61" customWidth="1"/>
    <col min="2050" max="2304" width="9" style="61"/>
    <col min="2305" max="2305" width="22.875" style="61" customWidth="1"/>
    <col min="2306" max="2560" width="9" style="61"/>
    <col min="2561" max="2561" width="22.875" style="61" customWidth="1"/>
    <col min="2562" max="2816" width="9" style="61"/>
    <col min="2817" max="2817" width="22.875" style="61" customWidth="1"/>
    <col min="2818" max="3072" width="9" style="61"/>
    <col min="3073" max="3073" width="22.875" style="61" customWidth="1"/>
    <col min="3074" max="3328" width="9" style="61"/>
    <col min="3329" max="3329" width="22.875" style="61" customWidth="1"/>
    <col min="3330" max="3584" width="9" style="61"/>
    <col min="3585" max="3585" width="22.875" style="61" customWidth="1"/>
    <col min="3586" max="3840" width="9" style="61"/>
    <col min="3841" max="3841" width="22.875" style="61" customWidth="1"/>
    <col min="3842" max="4096" width="9" style="61"/>
    <col min="4097" max="4097" width="22.875" style="61" customWidth="1"/>
    <col min="4098" max="4352" width="9" style="61"/>
    <col min="4353" max="4353" width="22.875" style="61" customWidth="1"/>
    <col min="4354" max="4608" width="9" style="61"/>
    <col min="4609" max="4609" width="22.875" style="61" customWidth="1"/>
    <col min="4610" max="4864" width="9" style="61"/>
    <col min="4865" max="4865" width="22.875" style="61" customWidth="1"/>
    <col min="4866" max="5120" width="9" style="61"/>
    <col min="5121" max="5121" width="22.875" style="61" customWidth="1"/>
    <col min="5122" max="5376" width="9" style="61"/>
    <col min="5377" max="5377" width="22.875" style="61" customWidth="1"/>
    <col min="5378" max="5632" width="9" style="61"/>
    <col min="5633" max="5633" width="22.875" style="61" customWidth="1"/>
    <col min="5634" max="5888" width="9" style="61"/>
    <col min="5889" max="5889" width="22.875" style="61" customWidth="1"/>
    <col min="5890" max="6144" width="9" style="61"/>
    <col min="6145" max="6145" width="22.875" style="61" customWidth="1"/>
    <col min="6146" max="6400" width="9" style="61"/>
    <col min="6401" max="6401" width="22.875" style="61" customWidth="1"/>
    <col min="6402" max="6656" width="9" style="61"/>
    <col min="6657" max="6657" width="22.875" style="61" customWidth="1"/>
    <col min="6658" max="6912" width="9" style="61"/>
    <col min="6913" max="6913" width="22.875" style="61" customWidth="1"/>
    <col min="6914" max="7168" width="9" style="61"/>
    <col min="7169" max="7169" width="22.875" style="61" customWidth="1"/>
    <col min="7170" max="7424" width="9" style="61"/>
    <col min="7425" max="7425" width="22.875" style="61" customWidth="1"/>
    <col min="7426" max="7680" width="9" style="61"/>
    <col min="7681" max="7681" width="22.875" style="61" customWidth="1"/>
    <col min="7682" max="7936" width="9" style="61"/>
    <col min="7937" max="7937" width="22.875" style="61" customWidth="1"/>
    <col min="7938" max="8192" width="9" style="61"/>
    <col min="8193" max="8193" width="22.875" style="61" customWidth="1"/>
    <col min="8194" max="8448" width="9" style="61"/>
    <col min="8449" max="8449" width="22.875" style="61" customWidth="1"/>
    <col min="8450" max="8704" width="9" style="61"/>
    <col min="8705" max="8705" width="22.875" style="61" customWidth="1"/>
    <col min="8706" max="8960" width="9" style="61"/>
    <col min="8961" max="8961" width="22.875" style="61" customWidth="1"/>
    <col min="8962" max="9216" width="9" style="61"/>
    <col min="9217" max="9217" width="22.875" style="61" customWidth="1"/>
    <col min="9218" max="9472" width="9" style="61"/>
    <col min="9473" max="9473" width="22.875" style="61" customWidth="1"/>
    <col min="9474" max="9728" width="9" style="61"/>
    <col min="9729" max="9729" width="22.875" style="61" customWidth="1"/>
    <col min="9730" max="9984" width="9" style="61"/>
    <col min="9985" max="9985" width="22.875" style="61" customWidth="1"/>
    <col min="9986" max="10240" width="9" style="61"/>
    <col min="10241" max="10241" width="22.875" style="61" customWidth="1"/>
    <col min="10242" max="10496" width="9" style="61"/>
    <col min="10497" max="10497" width="22.875" style="61" customWidth="1"/>
    <col min="10498" max="10752" width="9" style="61"/>
    <col min="10753" max="10753" width="22.875" style="61" customWidth="1"/>
    <col min="10754" max="11008" width="9" style="61"/>
    <col min="11009" max="11009" width="22.875" style="61" customWidth="1"/>
    <col min="11010" max="11264" width="9" style="61"/>
    <col min="11265" max="11265" width="22.875" style="61" customWidth="1"/>
    <col min="11266" max="11520" width="9" style="61"/>
    <col min="11521" max="11521" width="22.875" style="61" customWidth="1"/>
    <col min="11522" max="11776" width="9" style="61"/>
    <col min="11777" max="11777" width="22.875" style="61" customWidth="1"/>
    <col min="11778" max="12032" width="9" style="61"/>
    <col min="12033" max="12033" width="22.875" style="61" customWidth="1"/>
    <col min="12034" max="12288" width="9" style="61"/>
    <col min="12289" max="12289" width="22.875" style="61" customWidth="1"/>
    <col min="12290" max="12544" width="9" style="61"/>
    <col min="12545" max="12545" width="22.875" style="61" customWidth="1"/>
    <col min="12546" max="12800" width="9" style="61"/>
    <col min="12801" max="12801" width="22.875" style="61" customWidth="1"/>
    <col min="12802" max="13056" width="9" style="61"/>
    <col min="13057" max="13057" width="22.875" style="61" customWidth="1"/>
    <col min="13058" max="13312" width="9" style="61"/>
    <col min="13313" max="13313" width="22.875" style="61" customWidth="1"/>
    <col min="13314" max="13568" width="9" style="61"/>
    <col min="13569" max="13569" width="22.875" style="61" customWidth="1"/>
    <col min="13570" max="13824" width="9" style="61"/>
    <col min="13825" max="13825" width="22.875" style="61" customWidth="1"/>
    <col min="13826" max="14080" width="9" style="61"/>
    <col min="14081" max="14081" width="22.875" style="61" customWidth="1"/>
    <col min="14082" max="14336" width="9" style="61"/>
    <col min="14337" max="14337" width="22.875" style="61" customWidth="1"/>
    <col min="14338" max="14592" width="9" style="61"/>
    <col min="14593" max="14593" width="22.875" style="61" customWidth="1"/>
    <col min="14594" max="14848" width="9" style="61"/>
    <col min="14849" max="14849" width="22.875" style="61" customWidth="1"/>
    <col min="14850" max="15104" width="9" style="61"/>
    <col min="15105" max="15105" width="22.875" style="61" customWidth="1"/>
    <col min="15106" max="15360" width="9" style="61"/>
    <col min="15361" max="15361" width="22.875" style="61" customWidth="1"/>
    <col min="15362" max="15616" width="9" style="61"/>
    <col min="15617" max="15617" width="22.875" style="61" customWidth="1"/>
    <col min="15618" max="15872" width="9" style="61"/>
    <col min="15873" max="15873" width="22.875" style="61" customWidth="1"/>
    <col min="15874" max="16128" width="9" style="61"/>
    <col min="16129" max="16129" width="22.875" style="61" customWidth="1"/>
    <col min="16130" max="16384" width="9" style="61"/>
  </cols>
  <sheetData>
    <row r="1" spans="1:14" ht="15" customHeight="1">
      <c r="E1" s="51" t="s">
        <v>56</v>
      </c>
    </row>
    <row r="2" spans="1:14" ht="15" customHeight="1">
      <c r="A2" s="39" t="s">
        <v>30</v>
      </c>
      <c r="J2" s="64"/>
      <c r="K2" s="64"/>
      <c r="L2" s="64"/>
      <c r="M2" s="64"/>
      <c r="N2" s="64"/>
    </row>
    <row r="3" spans="1:14" ht="15" customHeight="1">
      <c r="A3" s="42" t="s">
        <v>31</v>
      </c>
      <c r="B3" s="42"/>
      <c r="C3" s="42">
        <v>1</v>
      </c>
      <c r="D3" s="46" t="s">
        <v>41</v>
      </c>
      <c r="E3" s="52" t="str">
        <f>IF(C3=1,"看涨期权牛市差价组合",IF(C3=2,"看跌期权牛市差价组合",IF(C3=3,"看涨期权熊市差价组合","看跌期权熊市差价组合")))</f>
        <v>看涨期权牛市差价组合</v>
      </c>
      <c r="J3" s="64"/>
      <c r="K3" s="64" t="s">
        <v>47</v>
      </c>
      <c r="L3" s="64"/>
      <c r="M3" s="64"/>
      <c r="N3" s="64"/>
    </row>
    <row r="4" spans="1:14" ht="15" customHeight="1">
      <c r="A4" s="62" t="str">
        <f>IF(C3=1,"看涨期权多头",IF(C3=2,"看跌期权多头",IF(C3=3,"看涨期权空头","看跌期权空头")))</f>
        <v>看涨期权多头</v>
      </c>
      <c r="B4" s="42"/>
      <c r="C4" s="42"/>
      <c r="J4" s="64"/>
      <c r="K4" s="64" t="s">
        <v>48</v>
      </c>
      <c r="L4" s="64"/>
      <c r="M4" s="64"/>
      <c r="N4" s="64"/>
    </row>
    <row r="5" spans="1:14" ht="15" customHeight="1">
      <c r="A5" s="42" t="s">
        <v>34</v>
      </c>
      <c r="B5" s="63">
        <v>2300</v>
      </c>
      <c r="C5" s="42"/>
      <c r="J5" s="64"/>
      <c r="K5" s="64" t="s">
        <v>49</v>
      </c>
      <c r="L5" s="64"/>
      <c r="M5" s="64"/>
      <c r="N5" s="64"/>
    </row>
    <row r="6" spans="1:14" ht="15" customHeight="1">
      <c r="A6" s="42" t="s">
        <v>35</v>
      </c>
      <c r="B6" s="63">
        <v>37</v>
      </c>
      <c r="C6" s="42"/>
      <c r="J6" s="64"/>
      <c r="K6" s="64" t="s">
        <v>50</v>
      </c>
      <c r="L6" s="64"/>
      <c r="M6" s="64"/>
      <c r="N6" s="64"/>
    </row>
    <row r="7" spans="1:14" ht="15" customHeight="1">
      <c r="A7" s="62" t="str">
        <f>IF(C3=1,"看涨期权空头",IF(C3=2,"看跌期权空头",IF(C3=3,"看涨期权多头","看跌期权多头")))</f>
        <v>看涨期权空头</v>
      </c>
      <c r="B7" s="50"/>
      <c r="C7" s="42"/>
      <c r="G7" s="62" t="s">
        <v>166</v>
      </c>
      <c r="J7" s="64"/>
      <c r="K7" s="64"/>
      <c r="L7" s="64"/>
      <c r="M7" s="64"/>
      <c r="N7" s="64"/>
    </row>
    <row r="8" spans="1:14" ht="15" customHeight="1">
      <c r="A8" s="42" t="s">
        <v>34</v>
      </c>
      <c r="B8" s="63">
        <v>2350</v>
      </c>
      <c r="C8" s="42"/>
      <c r="D8" s="62" t="s">
        <v>163</v>
      </c>
      <c r="E8" s="49">
        <f>C13+ABS(C16)</f>
        <v>2303</v>
      </c>
      <c r="G8" s="52" t="s">
        <v>165</v>
      </c>
      <c r="J8" s="64"/>
      <c r="K8" s="64"/>
      <c r="L8" s="64"/>
      <c r="M8" s="64"/>
      <c r="N8" s="64"/>
    </row>
    <row r="9" spans="1:14" ht="15" customHeight="1">
      <c r="A9" s="42" t="s">
        <v>35</v>
      </c>
      <c r="B9" s="63">
        <v>34</v>
      </c>
      <c r="C9" s="42"/>
      <c r="D9" s="62" t="s">
        <v>164</v>
      </c>
      <c r="E9" s="49">
        <f>ABS(B6-B9)</f>
        <v>3</v>
      </c>
      <c r="J9" s="64"/>
      <c r="K9" s="64"/>
      <c r="L9" s="64"/>
      <c r="M9" s="64"/>
      <c r="N9" s="64"/>
    </row>
    <row r="10" spans="1:14" ht="15" customHeight="1">
      <c r="A10" s="42"/>
      <c r="B10" s="59"/>
      <c r="C10" s="42"/>
    </row>
    <row r="12" spans="1:14" ht="15" customHeight="1">
      <c r="A12" s="39" t="s">
        <v>36</v>
      </c>
    </row>
    <row r="13" spans="1:14" ht="15" customHeight="1">
      <c r="A13" s="42" t="s">
        <v>37</v>
      </c>
      <c r="B13" s="49">
        <v>0</v>
      </c>
      <c r="C13" s="49">
        <f>B5</f>
        <v>2300</v>
      </c>
      <c r="D13" s="49">
        <f>B8</f>
        <v>2350</v>
      </c>
      <c r="E13" s="49">
        <f>D13*2</f>
        <v>4700</v>
      </c>
      <c r="F13" s="50">
        <f>B5</f>
        <v>2300</v>
      </c>
      <c r="G13" s="50">
        <f>B5</f>
        <v>2300</v>
      </c>
      <c r="H13" s="50">
        <f>B8</f>
        <v>2350</v>
      </c>
      <c r="I13" s="50">
        <f>B8</f>
        <v>2350</v>
      </c>
    </row>
    <row r="14" spans="1:14" ht="15" customHeight="1">
      <c r="A14" s="42" t="s">
        <v>51</v>
      </c>
      <c r="B14" s="49">
        <f>IF($C$3=1,MAX(B13-$B$5,0)-$B$6,IF($C$3=2,MAX($B$5-B13,0)-$B$6,IF($C$3=3,-MAX(B13-$B$5,0)+$B$6,-MAX($B$5-B13,0)+$B$6)))</f>
        <v>-37</v>
      </c>
      <c r="C14" s="49">
        <f>IF($C$3=1,MAX(C13-$B$5,0)-$B$6,IF($C$3=2,MAX($B$5-C13,0)-$B$6,IF($C$3=3,-MAX(C13-$B$5,0)+$B$6,-MAX($B$5-C13,0)+$B$6)))</f>
        <v>-37</v>
      </c>
      <c r="D14" s="49">
        <f>IF($C$3=1,MAX(D13-$B$5,0)-$B$6,IF($C$3=2,MAX($B$5-D13,0)-$B$6,IF($C$3=3,-MAX(D13-$B$5,0)+$B$6,-MAX($B$5-D13,0)+$B$6)))</f>
        <v>13</v>
      </c>
      <c r="E14" s="49">
        <f>IF($C$3=1,MAX(E13-$B$5,0)-$B$6,IF($C$3=2,MAX($B$5-E13,0)-$B$6,IF($C$3=3,-MAX(E13-$B$5,0)+$B$6,-MAX($B$5-E13,0)+$B$6)))</f>
        <v>2363</v>
      </c>
      <c r="F14" s="50"/>
      <c r="G14" s="50"/>
      <c r="H14" s="50"/>
      <c r="I14" s="50"/>
    </row>
    <row r="15" spans="1:14" ht="15" customHeight="1">
      <c r="A15" s="42" t="s">
        <v>52</v>
      </c>
      <c r="B15" s="49">
        <f>IF($C$3=1,-MAX(B13-$B$8,0)+$B$9,IF($C$3=2,-MAX($B$8-B13,0)+$B$9,IF($C$3=3,MAX(B13-$B$8,0)-$B$9,MAX($B$8-B13,0)-$B$9)))</f>
        <v>34</v>
      </c>
      <c r="C15" s="49">
        <f>IF($C$3=1,-MAX(C13-$B$8,0)+$B$9,IF($C$3=2,-MAX($B$8-C13,0)+$B$9,IF($C$3=3,MAX(C13-$B$8,0)-$B$9,MAX($B$8-C13,0)-$B$9)))</f>
        <v>34</v>
      </c>
      <c r="D15" s="49">
        <f>IF($C$3=1,-MAX(D13-$B$8,0)+$B$9,IF($C$3=2,-MAX($B$8-D13,0)+$B$9,IF($C$3=3,MAX(D13-$B$8,0)-$B$9,MAX($B$8-D13,0)-$B$9)))</f>
        <v>34</v>
      </c>
      <c r="E15" s="49">
        <f>IF($C$3=1,-MAX(E13-$B$8,0)+$B$9,IF($C$3=2,-MAX($B$8-E13,0)+$B$9,IF($C$3=3,MAX(E13-$B$8,0)-$B$9,MAX($B$8-E13,0)-$B$9)))</f>
        <v>-2316</v>
      </c>
      <c r="F15" s="50"/>
      <c r="G15" s="50"/>
      <c r="H15" s="50"/>
      <c r="I15" s="50"/>
    </row>
    <row r="16" spans="1:14" ht="15" customHeight="1">
      <c r="A16" s="42" t="s">
        <v>39</v>
      </c>
      <c r="B16" s="49">
        <f>B14+B15</f>
        <v>-3</v>
      </c>
      <c r="C16" s="49">
        <f>C14+C15</f>
        <v>-3</v>
      </c>
      <c r="D16" s="49">
        <f>D14+D15</f>
        <v>47</v>
      </c>
      <c r="E16" s="49">
        <f>E14+E15</f>
        <v>47</v>
      </c>
      <c r="F16" s="50"/>
      <c r="G16" s="50"/>
      <c r="H16" s="50"/>
      <c r="I16" s="50"/>
    </row>
    <row r="17" spans="1:9" ht="15" customHeight="1">
      <c r="A17" s="42" t="s">
        <v>53</v>
      </c>
      <c r="B17" s="50"/>
      <c r="C17" s="50"/>
      <c r="D17" s="50"/>
      <c r="E17" s="50"/>
      <c r="F17" s="50">
        <v>40</v>
      </c>
      <c r="G17" s="50">
        <v>-40</v>
      </c>
      <c r="H17" s="50"/>
      <c r="I17" s="50"/>
    </row>
    <row r="18" spans="1:9" ht="15" customHeight="1">
      <c r="A18" s="42" t="s">
        <v>54</v>
      </c>
      <c r="B18" s="50"/>
      <c r="C18" s="50"/>
      <c r="D18" s="50"/>
      <c r="E18" s="50"/>
      <c r="F18" s="50"/>
      <c r="G18" s="50"/>
      <c r="H18" s="50">
        <v>45</v>
      </c>
      <c r="I18" s="50">
        <v>-45</v>
      </c>
    </row>
    <row r="19" spans="1:9" ht="15" customHeight="1">
      <c r="A19" s="42"/>
      <c r="B19" s="42"/>
      <c r="C19" s="42"/>
      <c r="D19" s="42"/>
      <c r="E19" s="42"/>
      <c r="F19" s="42"/>
      <c r="G19" s="42"/>
      <c r="H19" s="42"/>
      <c r="I19" s="42"/>
    </row>
  </sheetData>
  <phoneticPr fontId="14" type="noConversion"/>
  <pageMargins left="0.7" right="0.7" top="0.75" bottom="0.75" header="0.3" footer="0.3"/>
  <pageSetup paperSize="9" orientation="portrait" verticalDpi="0" r:id="rId1"/>
  <drawing r:id="rId2"/>
  <legacyDrawing r:id="rId3"/>
  <controls>
    <control shapeId="6145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L26"/>
  <sheetViews>
    <sheetView workbookViewId="0">
      <selection activeCell="D11" sqref="D10:D11"/>
    </sheetView>
  </sheetViews>
  <sheetFormatPr defaultRowHeight="15" customHeight="1"/>
  <cols>
    <col min="1" max="1" width="22.5" style="2" customWidth="1"/>
    <col min="2" max="256" width="9" style="2"/>
    <col min="257" max="257" width="22.5" style="2" customWidth="1"/>
    <col min="258" max="512" width="9" style="2"/>
    <col min="513" max="513" width="22.5" style="2" customWidth="1"/>
    <col min="514" max="768" width="9" style="2"/>
    <col min="769" max="769" width="22.5" style="2" customWidth="1"/>
    <col min="770" max="1024" width="9" style="2"/>
    <col min="1025" max="1025" width="22.5" style="2" customWidth="1"/>
    <col min="1026" max="1280" width="9" style="2"/>
    <col min="1281" max="1281" width="22.5" style="2" customWidth="1"/>
    <col min="1282" max="1536" width="9" style="2"/>
    <col min="1537" max="1537" width="22.5" style="2" customWidth="1"/>
    <col min="1538" max="1792" width="9" style="2"/>
    <col min="1793" max="1793" width="22.5" style="2" customWidth="1"/>
    <col min="1794" max="2048" width="9" style="2"/>
    <col min="2049" max="2049" width="22.5" style="2" customWidth="1"/>
    <col min="2050" max="2304" width="9" style="2"/>
    <col min="2305" max="2305" width="22.5" style="2" customWidth="1"/>
    <col min="2306" max="2560" width="9" style="2"/>
    <col min="2561" max="2561" width="22.5" style="2" customWidth="1"/>
    <col min="2562" max="2816" width="9" style="2"/>
    <col min="2817" max="2817" width="22.5" style="2" customWidth="1"/>
    <col min="2818" max="3072" width="9" style="2"/>
    <col min="3073" max="3073" width="22.5" style="2" customWidth="1"/>
    <col min="3074" max="3328" width="9" style="2"/>
    <col min="3329" max="3329" width="22.5" style="2" customWidth="1"/>
    <col min="3330" max="3584" width="9" style="2"/>
    <col min="3585" max="3585" width="22.5" style="2" customWidth="1"/>
    <col min="3586" max="3840" width="9" style="2"/>
    <col min="3841" max="3841" width="22.5" style="2" customWidth="1"/>
    <col min="3842" max="4096" width="9" style="2"/>
    <col min="4097" max="4097" width="22.5" style="2" customWidth="1"/>
    <col min="4098" max="4352" width="9" style="2"/>
    <col min="4353" max="4353" width="22.5" style="2" customWidth="1"/>
    <col min="4354" max="4608" width="9" style="2"/>
    <col min="4609" max="4609" width="22.5" style="2" customWidth="1"/>
    <col min="4610" max="4864" width="9" style="2"/>
    <col min="4865" max="4865" width="22.5" style="2" customWidth="1"/>
    <col min="4866" max="5120" width="9" style="2"/>
    <col min="5121" max="5121" width="22.5" style="2" customWidth="1"/>
    <col min="5122" max="5376" width="9" style="2"/>
    <col min="5377" max="5377" width="22.5" style="2" customWidth="1"/>
    <col min="5378" max="5632" width="9" style="2"/>
    <col min="5633" max="5633" width="22.5" style="2" customWidth="1"/>
    <col min="5634" max="5888" width="9" style="2"/>
    <col min="5889" max="5889" width="22.5" style="2" customWidth="1"/>
    <col min="5890" max="6144" width="9" style="2"/>
    <col min="6145" max="6145" width="22.5" style="2" customWidth="1"/>
    <col min="6146" max="6400" width="9" style="2"/>
    <col min="6401" max="6401" width="22.5" style="2" customWidth="1"/>
    <col min="6402" max="6656" width="9" style="2"/>
    <col min="6657" max="6657" width="22.5" style="2" customWidth="1"/>
    <col min="6658" max="6912" width="9" style="2"/>
    <col min="6913" max="6913" width="22.5" style="2" customWidth="1"/>
    <col min="6914" max="7168" width="9" style="2"/>
    <col min="7169" max="7169" width="22.5" style="2" customWidth="1"/>
    <col min="7170" max="7424" width="9" style="2"/>
    <col min="7425" max="7425" width="22.5" style="2" customWidth="1"/>
    <col min="7426" max="7680" width="9" style="2"/>
    <col min="7681" max="7681" width="22.5" style="2" customWidth="1"/>
    <col min="7682" max="7936" width="9" style="2"/>
    <col min="7937" max="7937" width="22.5" style="2" customWidth="1"/>
    <col min="7938" max="8192" width="9" style="2"/>
    <col min="8193" max="8193" width="22.5" style="2" customWidth="1"/>
    <col min="8194" max="8448" width="9" style="2"/>
    <col min="8449" max="8449" width="22.5" style="2" customWidth="1"/>
    <col min="8450" max="8704" width="9" style="2"/>
    <col min="8705" max="8705" width="22.5" style="2" customWidth="1"/>
    <col min="8706" max="8960" width="9" style="2"/>
    <col min="8961" max="8961" width="22.5" style="2" customWidth="1"/>
    <col min="8962" max="9216" width="9" style="2"/>
    <col min="9217" max="9217" width="22.5" style="2" customWidth="1"/>
    <col min="9218" max="9472" width="9" style="2"/>
    <col min="9473" max="9473" width="22.5" style="2" customWidth="1"/>
    <col min="9474" max="9728" width="9" style="2"/>
    <col min="9729" max="9729" width="22.5" style="2" customWidth="1"/>
    <col min="9730" max="9984" width="9" style="2"/>
    <col min="9985" max="9985" width="22.5" style="2" customWidth="1"/>
    <col min="9986" max="10240" width="9" style="2"/>
    <col min="10241" max="10241" width="22.5" style="2" customWidth="1"/>
    <col min="10242" max="10496" width="9" style="2"/>
    <col min="10497" max="10497" width="22.5" style="2" customWidth="1"/>
    <col min="10498" max="10752" width="9" style="2"/>
    <col min="10753" max="10753" width="22.5" style="2" customWidth="1"/>
    <col min="10754" max="11008" width="9" style="2"/>
    <col min="11009" max="11009" width="22.5" style="2" customWidth="1"/>
    <col min="11010" max="11264" width="9" style="2"/>
    <col min="11265" max="11265" width="22.5" style="2" customWidth="1"/>
    <col min="11266" max="11520" width="9" style="2"/>
    <col min="11521" max="11521" width="22.5" style="2" customWidth="1"/>
    <col min="11522" max="11776" width="9" style="2"/>
    <col min="11777" max="11777" width="22.5" style="2" customWidth="1"/>
    <col min="11778" max="12032" width="9" style="2"/>
    <col min="12033" max="12033" width="22.5" style="2" customWidth="1"/>
    <col min="12034" max="12288" width="9" style="2"/>
    <col min="12289" max="12289" width="22.5" style="2" customWidth="1"/>
    <col min="12290" max="12544" width="9" style="2"/>
    <col min="12545" max="12545" width="22.5" style="2" customWidth="1"/>
    <col min="12546" max="12800" width="9" style="2"/>
    <col min="12801" max="12801" width="22.5" style="2" customWidth="1"/>
    <col min="12802" max="13056" width="9" style="2"/>
    <col min="13057" max="13057" width="22.5" style="2" customWidth="1"/>
    <col min="13058" max="13312" width="9" style="2"/>
    <col min="13313" max="13313" width="22.5" style="2" customWidth="1"/>
    <col min="13314" max="13568" width="9" style="2"/>
    <col min="13569" max="13569" width="22.5" style="2" customWidth="1"/>
    <col min="13570" max="13824" width="9" style="2"/>
    <col min="13825" max="13825" width="22.5" style="2" customWidth="1"/>
    <col min="13826" max="14080" width="9" style="2"/>
    <col min="14081" max="14081" width="22.5" style="2" customWidth="1"/>
    <col min="14082" max="14336" width="9" style="2"/>
    <col min="14337" max="14337" width="22.5" style="2" customWidth="1"/>
    <col min="14338" max="14592" width="9" style="2"/>
    <col min="14593" max="14593" width="22.5" style="2" customWidth="1"/>
    <col min="14594" max="14848" width="9" style="2"/>
    <col min="14849" max="14849" width="22.5" style="2" customWidth="1"/>
    <col min="14850" max="15104" width="9" style="2"/>
    <col min="15105" max="15105" width="22.5" style="2" customWidth="1"/>
    <col min="15106" max="15360" width="9" style="2"/>
    <col min="15361" max="15361" width="22.5" style="2" customWidth="1"/>
    <col min="15362" max="15616" width="9" style="2"/>
    <col min="15617" max="15617" width="22.5" style="2" customWidth="1"/>
    <col min="15618" max="15872" width="9" style="2"/>
    <col min="15873" max="15873" width="22.5" style="2" customWidth="1"/>
    <col min="15874" max="16128" width="9" style="2"/>
    <col min="16129" max="16129" width="22.5" style="2" customWidth="1"/>
    <col min="16130" max="16384" width="9" style="2"/>
  </cols>
  <sheetData>
    <row r="1" spans="1:12" ht="15" customHeight="1">
      <c r="E1" s="38" t="s">
        <v>57</v>
      </c>
    </row>
    <row r="2" spans="1:12" ht="15" customHeight="1">
      <c r="A2" s="39" t="s">
        <v>30</v>
      </c>
      <c r="H2" s="65"/>
      <c r="I2" s="65"/>
    </row>
    <row r="3" spans="1:12" ht="15" customHeight="1">
      <c r="A3" s="42" t="s">
        <v>31</v>
      </c>
      <c r="B3" s="42"/>
      <c r="C3" s="42">
        <v>2</v>
      </c>
      <c r="F3" s="43" t="s">
        <v>41</v>
      </c>
      <c r="G3" s="66" t="str">
        <f>IF(C3=1,"看涨期权正向蝶式差价组合",IF(C3=2,"看涨期权反向蝶式差价组合",IF(C3=3,"看跌期权正向蝶式差价组合","看跌期权反向蝶式差价组合")))</f>
        <v>看涨期权反向蝶式差价组合</v>
      </c>
    </row>
    <row r="4" spans="1:12" ht="15" customHeight="1">
      <c r="A4" s="62" t="str">
        <f>IF(C3=1,"看涨期权多头",IF(C3=2,"看涨期权空头",IF(C3=3,"看跌期权多头","看跌期权空头")))</f>
        <v>看涨期权空头</v>
      </c>
      <c r="B4" s="42"/>
      <c r="C4" s="42"/>
      <c r="E4" s="67" t="s">
        <v>58</v>
      </c>
      <c r="J4" s="68" t="s">
        <v>59</v>
      </c>
    </row>
    <row r="5" spans="1:12" ht="15" customHeight="1">
      <c r="A5" s="42" t="s">
        <v>60</v>
      </c>
      <c r="B5" s="63">
        <v>2200</v>
      </c>
      <c r="C5" s="42"/>
      <c r="J5" s="68" t="s">
        <v>61</v>
      </c>
    </row>
    <row r="6" spans="1:12" ht="15" customHeight="1">
      <c r="A6" s="42" t="s">
        <v>35</v>
      </c>
      <c r="B6" s="63">
        <v>45</v>
      </c>
      <c r="C6" s="42"/>
      <c r="J6" s="68" t="s">
        <v>62</v>
      </c>
    </row>
    <row r="7" spans="1:12" ht="15" customHeight="1">
      <c r="A7" s="62" t="str">
        <f>IF(C3=1,"看涨期权空头",IF(C3=2,"看涨期权多头",IF(C3=3,"看跌期权空头","看跌期权多头")))</f>
        <v>看涨期权多头</v>
      </c>
      <c r="B7" s="50"/>
      <c r="C7" s="42"/>
      <c r="J7" s="68" t="s">
        <v>63</v>
      </c>
    </row>
    <row r="8" spans="1:12" ht="15" customHeight="1">
      <c r="A8" s="42" t="s">
        <v>34</v>
      </c>
      <c r="B8" s="63">
        <v>2250</v>
      </c>
      <c r="C8" s="42"/>
    </row>
    <row r="9" spans="1:12" ht="15" customHeight="1">
      <c r="A9" s="42" t="s">
        <v>35</v>
      </c>
      <c r="B9" s="63">
        <v>40</v>
      </c>
      <c r="C9" s="42"/>
    </row>
    <row r="10" spans="1:12" ht="15" customHeight="1">
      <c r="A10" s="62" t="str">
        <f>IF(C3=1,"看涨期权多头",IF(C3=2,"看涨期权空头",IF(C3=3,"看跌期权多头","看跌期权空头")))</f>
        <v>看涨期权空头</v>
      </c>
      <c r="B10" s="42"/>
      <c r="C10" s="42"/>
    </row>
    <row r="11" spans="1:12" ht="15" customHeight="1">
      <c r="A11" s="42" t="s">
        <v>34</v>
      </c>
      <c r="B11" s="63">
        <v>2300</v>
      </c>
      <c r="C11" s="42"/>
    </row>
    <row r="12" spans="1:12" ht="15" customHeight="1">
      <c r="A12" s="42" t="s">
        <v>35</v>
      </c>
      <c r="B12" s="63">
        <v>37</v>
      </c>
      <c r="C12" s="42"/>
    </row>
    <row r="15" spans="1:12" ht="15" customHeight="1">
      <c r="A15" s="39" t="s">
        <v>36</v>
      </c>
    </row>
    <row r="16" spans="1:12" s="42" customFormat="1" ht="15" customHeight="1">
      <c r="A16" s="42" t="s">
        <v>37</v>
      </c>
      <c r="B16" s="49">
        <v>0</v>
      </c>
      <c r="C16" s="49">
        <f>B5</f>
        <v>2200</v>
      </c>
      <c r="D16" s="49">
        <f>B8</f>
        <v>2250</v>
      </c>
      <c r="E16" s="49">
        <f>B11</f>
        <v>2300</v>
      </c>
      <c r="F16" s="49">
        <f>D16*1.2</f>
        <v>2700</v>
      </c>
      <c r="G16" s="50">
        <f>B5</f>
        <v>2200</v>
      </c>
      <c r="H16" s="50">
        <f>B5</f>
        <v>2200</v>
      </c>
      <c r="I16" s="50">
        <f>B8</f>
        <v>2250</v>
      </c>
      <c r="J16" s="50">
        <f>B8</f>
        <v>2250</v>
      </c>
      <c r="K16" s="50">
        <f>B11</f>
        <v>2300</v>
      </c>
      <c r="L16" s="50">
        <f>B11</f>
        <v>2300</v>
      </c>
    </row>
    <row r="17" spans="1:12" s="42" customFormat="1" ht="15" customHeight="1">
      <c r="A17" s="42" t="s">
        <v>51</v>
      </c>
      <c r="B17" s="49">
        <f>IF($C$3=1,MAX(B16-$B$5,0)-$B$6,IF($C$3=2,-MAX(B16-$B$5,0)+$B$6,IF($C$3=3,MAX($B$5-B16,0)-$B$6,-MAX($B$5-B16,0)+$B$6)))</f>
        <v>45</v>
      </c>
      <c r="C17" s="49">
        <f>IF($C$3=1,MAX(C16-$B$5,0)-$B$6,IF($C$3=2,-MAX(C16-$B$5,0)+$B$6,IF($C$3=3,MAX($B$5-C16,0)-$B$6,-MAX($B$5-C16,0)+$B$6)))</f>
        <v>45</v>
      </c>
      <c r="D17" s="49">
        <f>IF($C$3=1,MAX(D16-$B$5,0)-$B$6,IF($C$3=2,-MAX(D16-$B$5,0)+$B$6,IF($C$3=3,MAX($B$5-D16,0)-$B$6,-MAX($B$5-D16,0)+$B$6)))</f>
        <v>-5</v>
      </c>
      <c r="E17" s="49">
        <f>IF($C$3=1,MAX(E16-$B$5,0)-$B$6,IF($C$3=2,-MAX(E16-$B$5,0)+$B$6,IF($C$3=3,MAX($B$5-E16,0)-$B$6,-MAX($B$5-E16,0)+$B$6)))</f>
        <v>-55</v>
      </c>
      <c r="F17" s="49">
        <f>IF($C$3=1,MAX(F16-$B$5,0)-$B$6,IF($C$3=2,-MAX(F16-$B$5,0)+$B$6,IF($C$3=3,MAX($B$5-F16,0)-$B$6,-MAX($B$5-F16,0)+$B$6)))</f>
        <v>-455</v>
      </c>
      <c r="G17" s="50"/>
      <c r="H17" s="50"/>
      <c r="I17" s="50"/>
      <c r="J17" s="50"/>
    </row>
    <row r="18" spans="1:12" s="42" customFormat="1" ht="15" customHeight="1">
      <c r="A18" s="42" t="s">
        <v>64</v>
      </c>
      <c r="B18" s="49">
        <f>IF($C$3=1,-MAX(B16-$B$8,0)+$B$9,IF($C$3=2,MAX(B16-$B$8,0)-$B$9,IF($C$3=3,-MAX($B$8-B16,0)+$B$9,MAX($B$8-B16,0)-$B$9)))*2</f>
        <v>-80</v>
      </c>
      <c r="C18" s="49">
        <f>IF($C$3=1,-MAX(C16-$B$8,0)+$B$9,IF($C$3=2,MAX(C16-$B$8,0)-$B$9,IF($C$3=3,-MAX($B$8-C16,0)+$B$9,MAX($B$8-C16,0)-$B$9)))*2</f>
        <v>-80</v>
      </c>
      <c r="D18" s="49">
        <f>IF($C$3=1,-MAX(D16-$B$8,0)+$B$9,IF($C$3=2,MAX(D16-$B$8,0)-$B$9,IF($C$3=3,-MAX($B$8-D16,0)+$B$9,MAX($B$8-D16,0)-$B$9)))*2</f>
        <v>-80</v>
      </c>
      <c r="E18" s="49">
        <f>IF($C$3=1,-MAX(E16-$B$8,0)+$B$9,IF($C$3=2,MAX(E16-$B$8,0)-$B$9,IF($C$3=3,-MAX($B$8-E16,0)+$B$9,MAX($B$8-E16,0)-$B$9)))*2</f>
        <v>20</v>
      </c>
      <c r="F18" s="49">
        <f>IF($C$3=1,-MAX(F16-$B$8,0)+$B$9,IF($C$3=2,MAX(F16-$B$8,0)-$B$9,IF($C$3=3,-MAX($B$8-F16,0)+$B$9,MAX($B$8-F16,0)-$B$9)))*2</f>
        <v>820</v>
      </c>
      <c r="G18" s="50"/>
      <c r="H18" s="50"/>
      <c r="I18" s="50"/>
      <c r="J18" s="50"/>
    </row>
    <row r="19" spans="1:12" s="42" customFormat="1" ht="15" customHeight="1">
      <c r="A19" s="42" t="s">
        <v>52</v>
      </c>
      <c r="B19" s="49">
        <f>IF($C$3=1,MAX(B16-$B$11,0)-$B$12,IF($C$3=2,-MAX(B16-$B$11,0)+$B$12,IF($C$3=3,MAX($B$11-B16,0)-$B$12,-MAX($B$11-B16,0)+$B$12)))</f>
        <v>37</v>
      </c>
      <c r="C19" s="49">
        <f>IF($C$3=1,MAX(C16-$B$11,0)-$B$12,IF($C$3=2,-MAX(C16-$B$11,0)+$B$12,IF($C$3=3,MAX($B$11-C16,0)-$B$12,-MAX($B$11-C16,0)+$B$12)))</f>
        <v>37</v>
      </c>
      <c r="D19" s="49">
        <f>IF($C$3=1,MAX(D16-$B$11,0)-$B$12,IF($C$3=2,-MAX(D16-$B$11,0)+$B$12,IF($C$3=3,MAX($B$11-D16,0)-$B$12,-MAX($B$11-D16,0)+$B$12)))</f>
        <v>37</v>
      </c>
      <c r="E19" s="49">
        <f>IF($C$3=1,MAX(E16-$B$11,0)-$B$12,IF($C$3=2,-MAX(E16-$B$11,0)+$B$12,IF($C$3=3,MAX($B$11-E16,0)-$B$12,-MAX($B$11-E16,0)+$B$12)))</f>
        <v>37</v>
      </c>
      <c r="F19" s="49">
        <f>IF($C$3=1,MAX(F16-$B$11,0)-$B$12,IF($C$3=2,-MAX(F16-$B$11,0)+$B$12,IF($C$3=3,MAX($B$11-F16,0)-$B$12,-MAX($B$11-F16,0)+$B$12)))</f>
        <v>-363</v>
      </c>
      <c r="G19" s="50"/>
      <c r="H19" s="50"/>
      <c r="I19" s="50"/>
      <c r="J19" s="50"/>
    </row>
    <row r="20" spans="1:12" s="42" customFormat="1" ht="15" customHeight="1">
      <c r="A20" s="42" t="s">
        <v>39</v>
      </c>
      <c r="B20" s="49">
        <f>SUM(B17:B19)</f>
        <v>2</v>
      </c>
      <c r="C20" s="49">
        <f>SUM(C17:C19)</f>
        <v>2</v>
      </c>
      <c r="D20" s="49">
        <f>SUM(D17:D19)</f>
        <v>-48</v>
      </c>
      <c r="E20" s="49">
        <f>SUM(E17:E19)</f>
        <v>2</v>
      </c>
      <c r="F20" s="49">
        <f>SUM(F17:F19)</f>
        <v>2</v>
      </c>
      <c r="G20" s="50"/>
      <c r="H20" s="50"/>
      <c r="I20" s="50"/>
      <c r="J20" s="50"/>
    </row>
    <row r="21" spans="1:12" s="42" customFormat="1" ht="15" customHeight="1">
      <c r="A21" s="42" t="s">
        <v>65</v>
      </c>
      <c r="B21" s="50"/>
      <c r="C21" s="50"/>
      <c r="D21" s="50"/>
      <c r="E21" s="50"/>
      <c r="F21" s="50"/>
      <c r="G21" s="50">
        <f>D16</f>
        <v>2250</v>
      </c>
      <c r="H21" s="50">
        <f>-G21</f>
        <v>-2250</v>
      </c>
      <c r="I21" s="50"/>
      <c r="J21" s="50"/>
    </row>
    <row r="22" spans="1:12" s="42" customFormat="1" ht="15" customHeight="1">
      <c r="A22" s="42" t="s">
        <v>53</v>
      </c>
      <c r="B22" s="50"/>
      <c r="C22" s="50"/>
      <c r="D22" s="50"/>
      <c r="E22" s="50"/>
      <c r="F22" s="50"/>
      <c r="G22" s="50"/>
      <c r="H22" s="50"/>
      <c r="I22" s="50">
        <f>B11</f>
        <v>2300</v>
      </c>
      <c r="J22" s="50">
        <f>-I22</f>
        <v>-2300</v>
      </c>
    </row>
    <row r="23" spans="1:12" s="42" customFormat="1" ht="15" customHeight="1">
      <c r="A23" s="42" t="s">
        <v>54</v>
      </c>
      <c r="B23" s="50"/>
      <c r="C23" s="50"/>
      <c r="D23" s="50"/>
      <c r="E23" s="50"/>
      <c r="F23" s="50"/>
      <c r="G23" s="50"/>
      <c r="H23" s="50"/>
      <c r="K23" s="50">
        <f>B5</f>
        <v>2200</v>
      </c>
      <c r="L23" s="50">
        <f>-K23</f>
        <v>-2200</v>
      </c>
    </row>
    <row r="24" spans="1:12" s="42" customFormat="1" ht="15" customHeight="1"/>
    <row r="25" spans="1:12" s="42" customFormat="1" ht="15" customHeight="1"/>
    <row r="26" spans="1:12" s="42" customFormat="1" ht="15" customHeight="1"/>
  </sheetData>
  <phoneticPr fontId="14" type="noConversion"/>
  <pageMargins left="0.7" right="0.7" top="0.75" bottom="0.75" header="0.3" footer="0.3"/>
  <drawing r:id="rId1"/>
  <legacyDrawing r:id="rId2"/>
  <controls>
    <control shapeId="8193" r:id="rId3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L24"/>
  <sheetViews>
    <sheetView topLeftCell="A4" workbookViewId="0">
      <selection activeCell="I14" sqref="I14"/>
    </sheetView>
  </sheetViews>
  <sheetFormatPr defaultRowHeight="15" customHeight="1"/>
  <cols>
    <col min="1" max="1" width="25" style="2" customWidth="1"/>
    <col min="2" max="2" width="9.375" style="2" bestFit="1" customWidth="1"/>
    <col min="3" max="6" width="9.125" style="2" bestFit="1" customWidth="1"/>
    <col min="7" max="8" width="9.25" style="2" bestFit="1" customWidth="1"/>
    <col min="9" max="10" width="9.125" style="2" bestFit="1" customWidth="1"/>
    <col min="11" max="256" width="9" style="2"/>
    <col min="257" max="257" width="25" style="2" customWidth="1"/>
    <col min="258" max="262" width="9.125" style="2" bestFit="1" customWidth="1"/>
    <col min="263" max="264" width="9.25" style="2" bestFit="1" customWidth="1"/>
    <col min="265" max="266" width="9.125" style="2" bestFit="1" customWidth="1"/>
    <col min="267" max="512" width="9" style="2"/>
    <col min="513" max="513" width="25" style="2" customWidth="1"/>
    <col min="514" max="518" width="9.125" style="2" bestFit="1" customWidth="1"/>
    <col min="519" max="520" width="9.25" style="2" bestFit="1" customWidth="1"/>
    <col min="521" max="522" width="9.125" style="2" bestFit="1" customWidth="1"/>
    <col min="523" max="768" width="9" style="2"/>
    <col min="769" max="769" width="25" style="2" customWidth="1"/>
    <col min="770" max="774" width="9.125" style="2" bestFit="1" customWidth="1"/>
    <col min="775" max="776" width="9.25" style="2" bestFit="1" customWidth="1"/>
    <col min="777" max="778" width="9.125" style="2" bestFit="1" customWidth="1"/>
    <col min="779" max="1024" width="9" style="2"/>
    <col min="1025" max="1025" width="25" style="2" customWidth="1"/>
    <col min="1026" max="1030" width="9.125" style="2" bestFit="1" customWidth="1"/>
    <col min="1031" max="1032" width="9.25" style="2" bestFit="1" customWidth="1"/>
    <col min="1033" max="1034" width="9.125" style="2" bestFit="1" customWidth="1"/>
    <col min="1035" max="1280" width="9" style="2"/>
    <col min="1281" max="1281" width="25" style="2" customWidth="1"/>
    <col min="1282" max="1286" width="9.125" style="2" bestFit="1" customWidth="1"/>
    <col min="1287" max="1288" width="9.25" style="2" bestFit="1" customWidth="1"/>
    <col min="1289" max="1290" width="9.125" style="2" bestFit="1" customWidth="1"/>
    <col min="1291" max="1536" width="9" style="2"/>
    <col min="1537" max="1537" width="25" style="2" customWidth="1"/>
    <col min="1538" max="1542" width="9.125" style="2" bestFit="1" customWidth="1"/>
    <col min="1543" max="1544" width="9.25" style="2" bestFit="1" customWidth="1"/>
    <col min="1545" max="1546" width="9.125" style="2" bestFit="1" customWidth="1"/>
    <col min="1547" max="1792" width="9" style="2"/>
    <col min="1793" max="1793" width="25" style="2" customWidth="1"/>
    <col min="1794" max="1798" width="9.125" style="2" bestFit="1" customWidth="1"/>
    <col min="1799" max="1800" width="9.25" style="2" bestFit="1" customWidth="1"/>
    <col min="1801" max="1802" width="9.125" style="2" bestFit="1" customWidth="1"/>
    <col min="1803" max="2048" width="9" style="2"/>
    <col min="2049" max="2049" width="25" style="2" customWidth="1"/>
    <col min="2050" max="2054" width="9.125" style="2" bestFit="1" customWidth="1"/>
    <col min="2055" max="2056" width="9.25" style="2" bestFit="1" customWidth="1"/>
    <col min="2057" max="2058" width="9.125" style="2" bestFit="1" customWidth="1"/>
    <col min="2059" max="2304" width="9" style="2"/>
    <col min="2305" max="2305" width="25" style="2" customWidth="1"/>
    <col min="2306" max="2310" width="9.125" style="2" bestFit="1" customWidth="1"/>
    <col min="2311" max="2312" width="9.25" style="2" bestFit="1" customWidth="1"/>
    <col min="2313" max="2314" width="9.125" style="2" bestFit="1" customWidth="1"/>
    <col min="2315" max="2560" width="9" style="2"/>
    <col min="2561" max="2561" width="25" style="2" customWidth="1"/>
    <col min="2562" max="2566" width="9.125" style="2" bestFit="1" customWidth="1"/>
    <col min="2567" max="2568" width="9.25" style="2" bestFit="1" customWidth="1"/>
    <col min="2569" max="2570" width="9.125" style="2" bestFit="1" customWidth="1"/>
    <col min="2571" max="2816" width="9" style="2"/>
    <col min="2817" max="2817" width="25" style="2" customWidth="1"/>
    <col min="2818" max="2822" width="9.125" style="2" bestFit="1" customWidth="1"/>
    <col min="2823" max="2824" width="9.25" style="2" bestFit="1" customWidth="1"/>
    <col min="2825" max="2826" width="9.125" style="2" bestFit="1" customWidth="1"/>
    <col min="2827" max="3072" width="9" style="2"/>
    <col min="3073" max="3073" width="25" style="2" customWidth="1"/>
    <col min="3074" max="3078" width="9.125" style="2" bestFit="1" customWidth="1"/>
    <col min="3079" max="3080" width="9.25" style="2" bestFit="1" customWidth="1"/>
    <col min="3081" max="3082" width="9.125" style="2" bestFit="1" customWidth="1"/>
    <col min="3083" max="3328" width="9" style="2"/>
    <col min="3329" max="3329" width="25" style="2" customWidth="1"/>
    <col min="3330" max="3334" width="9.125" style="2" bestFit="1" customWidth="1"/>
    <col min="3335" max="3336" width="9.25" style="2" bestFit="1" customWidth="1"/>
    <col min="3337" max="3338" width="9.125" style="2" bestFit="1" customWidth="1"/>
    <col min="3339" max="3584" width="9" style="2"/>
    <col min="3585" max="3585" width="25" style="2" customWidth="1"/>
    <col min="3586" max="3590" width="9.125" style="2" bestFit="1" customWidth="1"/>
    <col min="3591" max="3592" width="9.25" style="2" bestFit="1" customWidth="1"/>
    <col min="3593" max="3594" width="9.125" style="2" bestFit="1" customWidth="1"/>
    <col min="3595" max="3840" width="9" style="2"/>
    <col min="3841" max="3841" width="25" style="2" customWidth="1"/>
    <col min="3842" max="3846" width="9.125" style="2" bestFit="1" customWidth="1"/>
    <col min="3847" max="3848" width="9.25" style="2" bestFit="1" customWidth="1"/>
    <col min="3849" max="3850" width="9.125" style="2" bestFit="1" customWidth="1"/>
    <col min="3851" max="4096" width="9" style="2"/>
    <col min="4097" max="4097" width="25" style="2" customWidth="1"/>
    <col min="4098" max="4102" width="9.125" style="2" bestFit="1" customWidth="1"/>
    <col min="4103" max="4104" width="9.25" style="2" bestFit="1" customWidth="1"/>
    <col min="4105" max="4106" width="9.125" style="2" bestFit="1" customWidth="1"/>
    <col min="4107" max="4352" width="9" style="2"/>
    <col min="4353" max="4353" width="25" style="2" customWidth="1"/>
    <col min="4354" max="4358" width="9.125" style="2" bestFit="1" customWidth="1"/>
    <col min="4359" max="4360" width="9.25" style="2" bestFit="1" customWidth="1"/>
    <col min="4361" max="4362" width="9.125" style="2" bestFit="1" customWidth="1"/>
    <col min="4363" max="4608" width="9" style="2"/>
    <col min="4609" max="4609" width="25" style="2" customWidth="1"/>
    <col min="4610" max="4614" width="9.125" style="2" bestFit="1" customWidth="1"/>
    <col min="4615" max="4616" width="9.25" style="2" bestFit="1" customWidth="1"/>
    <col min="4617" max="4618" width="9.125" style="2" bestFit="1" customWidth="1"/>
    <col min="4619" max="4864" width="9" style="2"/>
    <col min="4865" max="4865" width="25" style="2" customWidth="1"/>
    <col min="4866" max="4870" width="9.125" style="2" bestFit="1" customWidth="1"/>
    <col min="4871" max="4872" width="9.25" style="2" bestFit="1" customWidth="1"/>
    <col min="4873" max="4874" width="9.125" style="2" bestFit="1" customWidth="1"/>
    <col min="4875" max="5120" width="9" style="2"/>
    <col min="5121" max="5121" width="25" style="2" customWidth="1"/>
    <col min="5122" max="5126" width="9.125" style="2" bestFit="1" customWidth="1"/>
    <col min="5127" max="5128" width="9.25" style="2" bestFit="1" customWidth="1"/>
    <col min="5129" max="5130" width="9.125" style="2" bestFit="1" customWidth="1"/>
    <col min="5131" max="5376" width="9" style="2"/>
    <col min="5377" max="5377" width="25" style="2" customWidth="1"/>
    <col min="5378" max="5382" width="9.125" style="2" bestFit="1" customWidth="1"/>
    <col min="5383" max="5384" width="9.25" style="2" bestFit="1" customWidth="1"/>
    <col min="5385" max="5386" width="9.125" style="2" bestFit="1" customWidth="1"/>
    <col min="5387" max="5632" width="9" style="2"/>
    <col min="5633" max="5633" width="25" style="2" customWidth="1"/>
    <col min="5634" max="5638" width="9.125" style="2" bestFit="1" customWidth="1"/>
    <col min="5639" max="5640" width="9.25" style="2" bestFit="1" customWidth="1"/>
    <col min="5641" max="5642" width="9.125" style="2" bestFit="1" customWidth="1"/>
    <col min="5643" max="5888" width="9" style="2"/>
    <col min="5889" max="5889" width="25" style="2" customWidth="1"/>
    <col min="5890" max="5894" width="9.125" style="2" bestFit="1" customWidth="1"/>
    <col min="5895" max="5896" width="9.25" style="2" bestFit="1" customWidth="1"/>
    <col min="5897" max="5898" width="9.125" style="2" bestFit="1" customWidth="1"/>
    <col min="5899" max="6144" width="9" style="2"/>
    <col min="6145" max="6145" width="25" style="2" customWidth="1"/>
    <col min="6146" max="6150" width="9.125" style="2" bestFit="1" customWidth="1"/>
    <col min="6151" max="6152" width="9.25" style="2" bestFit="1" customWidth="1"/>
    <col min="6153" max="6154" width="9.125" style="2" bestFit="1" customWidth="1"/>
    <col min="6155" max="6400" width="9" style="2"/>
    <col min="6401" max="6401" width="25" style="2" customWidth="1"/>
    <col min="6402" max="6406" width="9.125" style="2" bestFit="1" customWidth="1"/>
    <col min="6407" max="6408" width="9.25" style="2" bestFit="1" customWidth="1"/>
    <col min="6409" max="6410" width="9.125" style="2" bestFit="1" customWidth="1"/>
    <col min="6411" max="6656" width="9" style="2"/>
    <col min="6657" max="6657" width="25" style="2" customWidth="1"/>
    <col min="6658" max="6662" width="9.125" style="2" bestFit="1" customWidth="1"/>
    <col min="6663" max="6664" width="9.25" style="2" bestFit="1" customWidth="1"/>
    <col min="6665" max="6666" width="9.125" style="2" bestFit="1" customWidth="1"/>
    <col min="6667" max="6912" width="9" style="2"/>
    <col min="6913" max="6913" width="25" style="2" customWidth="1"/>
    <col min="6914" max="6918" width="9.125" style="2" bestFit="1" customWidth="1"/>
    <col min="6919" max="6920" width="9.25" style="2" bestFit="1" customWidth="1"/>
    <col min="6921" max="6922" width="9.125" style="2" bestFit="1" customWidth="1"/>
    <col min="6923" max="7168" width="9" style="2"/>
    <col min="7169" max="7169" width="25" style="2" customWidth="1"/>
    <col min="7170" max="7174" width="9.125" style="2" bestFit="1" customWidth="1"/>
    <col min="7175" max="7176" width="9.25" style="2" bestFit="1" customWidth="1"/>
    <col min="7177" max="7178" width="9.125" style="2" bestFit="1" customWidth="1"/>
    <col min="7179" max="7424" width="9" style="2"/>
    <col min="7425" max="7425" width="25" style="2" customWidth="1"/>
    <col min="7426" max="7430" width="9.125" style="2" bestFit="1" customWidth="1"/>
    <col min="7431" max="7432" width="9.25" style="2" bestFit="1" customWidth="1"/>
    <col min="7433" max="7434" width="9.125" style="2" bestFit="1" customWidth="1"/>
    <col min="7435" max="7680" width="9" style="2"/>
    <col min="7681" max="7681" width="25" style="2" customWidth="1"/>
    <col min="7682" max="7686" width="9.125" style="2" bestFit="1" customWidth="1"/>
    <col min="7687" max="7688" width="9.25" style="2" bestFit="1" customWidth="1"/>
    <col min="7689" max="7690" width="9.125" style="2" bestFit="1" customWidth="1"/>
    <col min="7691" max="7936" width="9" style="2"/>
    <col min="7937" max="7937" width="25" style="2" customWidth="1"/>
    <col min="7938" max="7942" width="9.125" style="2" bestFit="1" customWidth="1"/>
    <col min="7943" max="7944" width="9.25" style="2" bestFit="1" customWidth="1"/>
    <col min="7945" max="7946" width="9.125" style="2" bestFit="1" customWidth="1"/>
    <col min="7947" max="8192" width="9" style="2"/>
    <col min="8193" max="8193" width="25" style="2" customWidth="1"/>
    <col min="8194" max="8198" width="9.125" style="2" bestFit="1" customWidth="1"/>
    <col min="8199" max="8200" width="9.25" style="2" bestFit="1" customWidth="1"/>
    <col min="8201" max="8202" width="9.125" style="2" bestFit="1" customWidth="1"/>
    <col min="8203" max="8448" width="9" style="2"/>
    <col min="8449" max="8449" width="25" style="2" customWidth="1"/>
    <col min="8450" max="8454" width="9.125" style="2" bestFit="1" customWidth="1"/>
    <col min="8455" max="8456" width="9.25" style="2" bestFit="1" customWidth="1"/>
    <col min="8457" max="8458" width="9.125" style="2" bestFit="1" customWidth="1"/>
    <col min="8459" max="8704" width="9" style="2"/>
    <col min="8705" max="8705" width="25" style="2" customWidth="1"/>
    <col min="8706" max="8710" width="9.125" style="2" bestFit="1" customWidth="1"/>
    <col min="8711" max="8712" width="9.25" style="2" bestFit="1" customWidth="1"/>
    <col min="8713" max="8714" width="9.125" style="2" bestFit="1" customWidth="1"/>
    <col min="8715" max="8960" width="9" style="2"/>
    <col min="8961" max="8961" width="25" style="2" customWidth="1"/>
    <col min="8962" max="8966" width="9.125" style="2" bestFit="1" customWidth="1"/>
    <col min="8967" max="8968" width="9.25" style="2" bestFit="1" customWidth="1"/>
    <col min="8969" max="8970" width="9.125" style="2" bestFit="1" customWidth="1"/>
    <col min="8971" max="9216" width="9" style="2"/>
    <col min="9217" max="9217" width="25" style="2" customWidth="1"/>
    <col min="9218" max="9222" width="9.125" style="2" bestFit="1" customWidth="1"/>
    <col min="9223" max="9224" width="9.25" style="2" bestFit="1" customWidth="1"/>
    <col min="9225" max="9226" width="9.125" style="2" bestFit="1" customWidth="1"/>
    <col min="9227" max="9472" width="9" style="2"/>
    <col min="9473" max="9473" width="25" style="2" customWidth="1"/>
    <col min="9474" max="9478" width="9.125" style="2" bestFit="1" customWidth="1"/>
    <col min="9479" max="9480" width="9.25" style="2" bestFit="1" customWidth="1"/>
    <col min="9481" max="9482" width="9.125" style="2" bestFit="1" customWidth="1"/>
    <col min="9483" max="9728" width="9" style="2"/>
    <col min="9729" max="9729" width="25" style="2" customWidth="1"/>
    <col min="9730" max="9734" width="9.125" style="2" bestFit="1" customWidth="1"/>
    <col min="9735" max="9736" width="9.25" style="2" bestFit="1" customWidth="1"/>
    <col min="9737" max="9738" width="9.125" style="2" bestFit="1" customWidth="1"/>
    <col min="9739" max="9984" width="9" style="2"/>
    <col min="9985" max="9985" width="25" style="2" customWidth="1"/>
    <col min="9986" max="9990" width="9.125" style="2" bestFit="1" customWidth="1"/>
    <col min="9991" max="9992" width="9.25" style="2" bestFit="1" customWidth="1"/>
    <col min="9993" max="9994" width="9.125" style="2" bestFit="1" customWidth="1"/>
    <col min="9995" max="10240" width="9" style="2"/>
    <col min="10241" max="10241" width="25" style="2" customWidth="1"/>
    <col min="10242" max="10246" width="9.125" style="2" bestFit="1" customWidth="1"/>
    <col min="10247" max="10248" width="9.25" style="2" bestFit="1" customWidth="1"/>
    <col min="10249" max="10250" width="9.125" style="2" bestFit="1" customWidth="1"/>
    <col min="10251" max="10496" width="9" style="2"/>
    <col min="10497" max="10497" width="25" style="2" customWidth="1"/>
    <col min="10498" max="10502" width="9.125" style="2" bestFit="1" customWidth="1"/>
    <col min="10503" max="10504" width="9.25" style="2" bestFit="1" customWidth="1"/>
    <col min="10505" max="10506" width="9.125" style="2" bestFit="1" customWidth="1"/>
    <col min="10507" max="10752" width="9" style="2"/>
    <col min="10753" max="10753" width="25" style="2" customWidth="1"/>
    <col min="10754" max="10758" width="9.125" style="2" bestFit="1" customWidth="1"/>
    <col min="10759" max="10760" width="9.25" style="2" bestFit="1" customWidth="1"/>
    <col min="10761" max="10762" width="9.125" style="2" bestFit="1" customWidth="1"/>
    <col min="10763" max="11008" width="9" style="2"/>
    <col min="11009" max="11009" width="25" style="2" customWidth="1"/>
    <col min="11010" max="11014" width="9.125" style="2" bestFit="1" customWidth="1"/>
    <col min="11015" max="11016" width="9.25" style="2" bestFit="1" customWidth="1"/>
    <col min="11017" max="11018" width="9.125" style="2" bestFit="1" customWidth="1"/>
    <col min="11019" max="11264" width="9" style="2"/>
    <col min="11265" max="11265" width="25" style="2" customWidth="1"/>
    <col min="11266" max="11270" width="9.125" style="2" bestFit="1" customWidth="1"/>
    <col min="11271" max="11272" width="9.25" style="2" bestFit="1" customWidth="1"/>
    <col min="11273" max="11274" width="9.125" style="2" bestFit="1" customWidth="1"/>
    <col min="11275" max="11520" width="9" style="2"/>
    <col min="11521" max="11521" width="25" style="2" customWidth="1"/>
    <col min="11522" max="11526" width="9.125" style="2" bestFit="1" customWidth="1"/>
    <col min="11527" max="11528" width="9.25" style="2" bestFit="1" customWidth="1"/>
    <col min="11529" max="11530" width="9.125" style="2" bestFit="1" customWidth="1"/>
    <col min="11531" max="11776" width="9" style="2"/>
    <col min="11777" max="11777" width="25" style="2" customWidth="1"/>
    <col min="11778" max="11782" width="9.125" style="2" bestFit="1" customWidth="1"/>
    <col min="11783" max="11784" width="9.25" style="2" bestFit="1" customWidth="1"/>
    <col min="11785" max="11786" width="9.125" style="2" bestFit="1" customWidth="1"/>
    <col min="11787" max="12032" width="9" style="2"/>
    <col min="12033" max="12033" width="25" style="2" customWidth="1"/>
    <col min="12034" max="12038" width="9.125" style="2" bestFit="1" customWidth="1"/>
    <col min="12039" max="12040" width="9.25" style="2" bestFit="1" customWidth="1"/>
    <col min="12041" max="12042" width="9.125" style="2" bestFit="1" customWidth="1"/>
    <col min="12043" max="12288" width="9" style="2"/>
    <col min="12289" max="12289" width="25" style="2" customWidth="1"/>
    <col min="12290" max="12294" width="9.125" style="2" bestFit="1" customWidth="1"/>
    <col min="12295" max="12296" width="9.25" style="2" bestFit="1" customWidth="1"/>
    <col min="12297" max="12298" width="9.125" style="2" bestFit="1" customWidth="1"/>
    <col min="12299" max="12544" width="9" style="2"/>
    <col min="12545" max="12545" width="25" style="2" customWidth="1"/>
    <col min="12546" max="12550" width="9.125" style="2" bestFit="1" customWidth="1"/>
    <col min="12551" max="12552" width="9.25" style="2" bestFit="1" customWidth="1"/>
    <col min="12553" max="12554" width="9.125" style="2" bestFit="1" customWidth="1"/>
    <col min="12555" max="12800" width="9" style="2"/>
    <col min="12801" max="12801" width="25" style="2" customWidth="1"/>
    <col min="12802" max="12806" width="9.125" style="2" bestFit="1" customWidth="1"/>
    <col min="12807" max="12808" width="9.25" style="2" bestFit="1" customWidth="1"/>
    <col min="12809" max="12810" width="9.125" style="2" bestFit="1" customWidth="1"/>
    <col min="12811" max="13056" width="9" style="2"/>
    <col min="13057" max="13057" width="25" style="2" customWidth="1"/>
    <col min="13058" max="13062" width="9.125" style="2" bestFit="1" customWidth="1"/>
    <col min="13063" max="13064" width="9.25" style="2" bestFit="1" customWidth="1"/>
    <col min="13065" max="13066" width="9.125" style="2" bestFit="1" customWidth="1"/>
    <col min="13067" max="13312" width="9" style="2"/>
    <col min="13313" max="13313" width="25" style="2" customWidth="1"/>
    <col min="13314" max="13318" width="9.125" style="2" bestFit="1" customWidth="1"/>
    <col min="13319" max="13320" width="9.25" style="2" bestFit="1" customWidth="1"/>
    <col min="13321" max="13322" width="9.125" style="2" bestFit="1" customWidth="1"/>
    <col min="13323" max="13568" width="9" style="2"/>
    <col min="13569" max="13569" width="25" style="2" customWidth="1"/>
    <col min="13570" max="13574" width="9.125" style="2" bestFit="1" customWidth="1"/>
    <col min="13575" max="13576" width="9.25" style="2" bestFit="1" customWidth="1"/>
    <col min="13577" max="13578" width="9.125" style="2" bestFit="1" customWidth="1"/>
    <col min="13579" max="13824" width="9" style="2"/>
    <col min="13825" max="13825" width="25" style="2" customWidth="1"/>
    <col min="13826" max="13830" width="9.125" style="2" bestFit="1" customWidth="1"/>
    <col min="13831" max="13832" width="9.25" style="2" bestFit="1" customWidth="1"/>
    <col min="13833" max="13834" width="9.125" style="2" bestFit="1" customWidth="1"/>
    <col min="13835" max="14080" width="9" style="2"/>
    <col min="14081" max="14081" width="25" style="2" customWidth="1"/>
    <col min="14082" max="14086" width="9.125" style="2" bestFit="1" customWidth="1"/>
    <col min="14087" max="14088" width="9.25" style="2" bestFit="1" customWidth="1"/>
    <col min="14089" max="14090" width="9.125" style="2" bestFit="1" customWidth="1"/>
    <col min="14091" max="14336" width="9" style="2"/>
    <col min="14337" max="14337" width="25" style="2" customWidth="1"/>
    <col min="14338" max="14342" width="9.125" style="2" bestFit="1" customWidth="1"/>
    <col min="14343" max="14344" width="9.25" style="2" bestFit="1" customWidth="1"/>
    <col min="14345" max="14346" width="9.125" style="2" bestFit="1" customWidth="1"/>
    <col min="14347" max="14592" width="9" style="2"/>
    <col min="14593" max="14593" width="25" style="2" customWidth="1"/>
    <col min="14594" max="14598" width="9.125" style="2" bestFit="1" customWidth="1"/>
    <col min="14599" max="14600" width="9.25" style="2" bestFit="1" customWidth="1"/>
    <col min="14601" max="14602" width="9.125" style="2" bestFit="1" customWidth="1"/>
    <col min="14603" max="14848" width="9" style="2"/>
    <col min="14849" max="14849" width="25" style="2" customWidth="1"/>
    <col min="14850" max="14854" width="9.125" style="2" bestFit="1" customWidth="1"/>
    <col min="14855" max="14856" width="9.25" style="2" bestFit="1" customWidth="1"/>
    <col min="14857" max="14858" width="9.125" style="2" bestFit="1" customWidth="1"/>
    <col min="14859" max="15104" width="9" style="2"/>
    <col min="15105" max="15105" width="25" style="2" customWidth="1"/>
    <col min="15106" max="15110" width="9.125" style="2" bestFit="1" customWidth="1"/>
    <col min="15111" max="15112" width="9.25" style="2" bestFit="1" customWidth="1"/>
    <col min="15113" max="15114" width="9.125" style="2" bestFit="1" customWidth="1"/>
    <col min="15115" max="15360" width="9" style="2"/>
    <col min="15361" max="15361" width="25" style="2" customWidth="1"/>
    <col min="15362" max="15366" width="9.125" style="2" bestFit="1" customWidth="1"/>
    <col min="15367" max="15368" width="9.25" style="2" bestFit="1" customWidth="1"/>
    <col min="15369" max="15370" width="9.125" style="2" bestFit="1" customWidth="1"/>
    <col min="15371" max="15616" width="9" style="2"/>
    <col min="15617" max="15617" width="25" style="2" customWidth="1"/>
    <col min="15618" max="15622" width="9.125" style="2" bestFit="1" customWidth="1"/>
    <col min="15623" max="15624" width="9.25" style="2" bestFit="1" customWidth="1"/>
    <col min="15625" max="15626" width="9.125" style="2" bestFit="1" customWidth="1"/>
    <col min="15627" max="15872" width="9" style="2"/>
    <col min="15873" max="15873" width="25" style="2" customWidth="1"/>
    <col min="15874" max="15878" width="9.125" style="2" bestFit="1" customWidth="1"/>
    <col min="15879" max="15880" width="9.25" style="2" bestFit="1" customWidth="1"/>
    <col min="15881" max="15882" width="9.125" style="2" bestFit="1" customWidth="1"/>
    <col min="15883" max="16128" width="9" style="2"/>
    <col min="16129" max="16129" width="25" style="2" customWidth="1"/>
    <col min="16130" max="16134" width="9.125" style="2" bestFit="1" customWidth="1"/>
    <col min="16135" max="16136" width="9.25" style="2" bestFit="1" customWidth="1"/>
    <col min="16137" max="16138" width="9.125" style="2" bestFit="1" customWidth="1"/>
    <col min="16139" max="16384" width="9" style="2"/>
  </cols>
  <sheetData>
    <row r="1" spans="1:10" ht="15" customHeight="1">
      <c r="E1" s="38" t="s">
        <v>66</v>
      </c>
    </row>
    <row r="2" spans="1:10" ht="15" customHeight="1">
      <c r="A2" s="61"/>
      <c r="B2" s="61"/>
      <c r="C2" s="39"/>
    </row>
    <row r="3" spans="1:10" ht="15" customHeight="1">
      <c r="A3" s="69"/>
      <c r="B3" s="65"/>
    </row>
    <row r="4" spans="1:10" ht="15" customHeight="1">
      <c r="A4" s="61"/>
      <c r="B4" s="61"/>
      <c r="F4" s="70"/>
      <c r="J4" s="65"/>
    </row>
    <row r="5" spans="1:10" ht="15" customHeight="1">
      <c r="A5" s="39" t="s">
        <v>67</v>
      </c>
    </row>
    <row r="6" spans="1:10" s="42" customFormat="1" ht="15" customHeight="1">
      <c r="A6" s="42" t="s">
        <v>68</v>
      </c>
      <c r="C6" s="42">
        <v>1</v>
      </c>
      <c r="D6" s="46" t="s">
        <v>32</v>
      </c>
      <c r="E6" s="71" t="str">
        <f>IF(C6=1,"看涨期权正向差期组合",IF(C6=2,"看涨期权反向差期组合",IF(C6=3,"看跌期权正向差期组合","看跌期权反向差期组合")))</f>
        <v>看涨期权正向差期组合</v>
      </c>
    </row>
    <row r="7" spans="1:10" s="42" customFormat="1" ht="15" customHeight="1">
      <c r="C7" s="67" t="s">
        <v>69</v>
      </c>
      <c r="D7" s="46"/>
      <c r="E7" s="71"/>
      <c r="I7" s="53" t="s">
        <v>70</v>
      </c>
    </row>
    <row r="8" spans="1:10" s="42" customFormat="1" ht="15" customHeight="1">
      <c r="A8" s="62" t="str">
        <f>IF(C6=1,"看涨期权空头",IF(C6=2,"看涨期权多头",IF(C6=3,"看跌期权空头","看跌期权多头")))</f>
        <v>看涨期权空头</v>
      </c>
      <c r="I8" s="53" t="s">
        <v>71</v>
      </c>
    </row>
    <row r="9" spans="1:10" s="42" customFormat="1" ht="15" customHeight="1">
      <c r="A9" s="42" t="s">
        <v>72</v>
      </c>
      <c r="B9" s="47">
        <v>0.5</v>
      </c>
      <c r="C9" s="42" t="s">
        <v>168</v>
      </c>
      <c r="D9" s="42">
        <v>92</v>
      </c>
      <c r="I9" s="53" t="s">
        <v>73</v>
      </c>
    </row>
    <row r="10" spans="1:10" s="42" customFormat="1" ht="15" customHeight="1">
      <c r="A10" s="42" t="s">
        <v>74</v>
      </c>
      <c r="B10" s="47">
        <f>IF(OR(C6=1,C6=2),D9,D13)</f>
        <v>92</v>
      </c>
      <c r="C10" s="42" t="s">
        <v>169</v>
      </c>
      <c r="D10" s="42">
        <v>130</v>
      </c>
      <c r="I10" s="53" t="s">
        <v>75</v>
      </c>
    </row>
    <row r="11" spans="1:10" s="42" customFormat="1" ht="15" customHeight="1">
      <c r="A11" s="62" t="str">
        <f>IF(C6=1,"看涨期权多头",IF(C6=2,"看涨期权空头",IF(C6=3,"看跌期权多头","看跌期权空头")))</f>
        <v>看涨期权多头</v>
      </c>
    </row>
    <row r="12" spans="1:10" s="42" customFormat="1" ht="15" customHeight="1">
      <c r="A12" s="42" t="s">
        <v>76</v>
      </c>
      <c r="B12" s="47">
        <v>1</v>
      </c>
      <c r="C12" s="42" t="s">
        <v>170</v>
      </c>
      <c r="D12" s="42">
        <v>92</v>
      </c>
    </row>
    <row r="13" spans="1:10" s="42" customFormat="1" ht="15" customHeight="1">
      <c r="A13" s="42" t="s">
        <v>74</v>
      </c>
      <c r="B13" s="47">
        <f>IF(OR(C6=1,C6=2),D10,D13)</f>
        <v>130</v>
      </c>
      <c r="C13" s="42" t="s">
        <v>171</v>
      </c>
      <c r="D13" s="42">
        <v>130</v>
      </c>
    </row>
    <row r="14" spans="1:10" s="42" customFormat="1" ht="15" customHeight="1"/>
    <row r="15" spans="1:10" s="42" customFormat="1" ht="15" customHeight="1">
      <c r="A15" s="42" t="s">
        <v>77</v>
      </c>
      <c r="B15" s="47">
        <v>2300</v>
      </c>
    </row>
    <row r="16" spans="1:10" s="42" customFormat="1" ht="15" customHeight="1">
      <c r="A16" s="42" t="s">
        <v>78</v>
      </c>
      <c r="B16" s="47">
        <v>2300</v>
      </c>
    </row>
    <row r="17" spans="1:12" ht="15" customHeight="1">
      <c r="A17" s="39" t="s">
        <v>79</v>
      </c>
    </row>
    <row r="18" spans="1:12" s="42" customFormat="1" ht="15" customHeight="1">
      <c r="A18" s="113" t="s">
        <v>80</v>
      </c>
      <c r="B18" s="113">
        <v>0</v>
      </c>
      <c r="C18" s="113">
        <f>B16-200</f>
        <v>2100</v>
      </c>
      <c r="D18" s="113">
        <f>B16-100</f>
        <v>2200</v>
      </c>
      <c r="E18" s="113">
        <f>B16</f>
        <v>2300</v>
      </c>
      <c r="F18" s="113">
        <f>B16+100</f>
        <v>2400</v>
      </c>
      <c r="G18" s="113">
        <f>F18+100</f>
        <v>2500</v>
      </c>
      <c r="H18" s="113">
        <f>G18+100</f>
        <v>2600</v>
      </c>
      <c r="I18" s="113">
        <f>B15</f>
        <v>2300</v>
      </c>
      <c r="J18" s="113">
        <f>B15</f>
        <v>2300</v>
      </c>
      <c r="K18" s="113"/>
    </row>
    <row r="19" spans="1:12" s="42" customFormat="1" ht="15" customHeight="1">
      <c r="A19" s="113" t="s">
        <v>81</v>
      </c>
      <c r="B19" s="114">
        <f t="shared" ref="B19:H19" si="0">IF($C$6=1,-MAX(B18-$B$15,0)+$B$10,IF($C$6=2,MAX(B18-$B$15,0)-$B$10,IF($C$6=3,-MAX($B$15-B18,0)+$B$10,MAX($B$15-B18,0)-$B$10)))</f>
        <v>92</v>
      </c>
      <c r="C19" s="114">
        <f t="shared" si="0"/>
        <v>92</v>
      </c>
      <c r="D19" s="114">
        <f t="shared" si="0"/>
        <v>92</v>
      </c>
      <c r="E19" s="114">
        <f t="shared" si="0"/>
        <v>92</v>
      </c>
      <c r="F19" s="114">
        <f t="shared" si="0"/>
        <v>-8</v>
      </c>
      <c r="G19" s="114">
        <f t="shared" si="0"/>
        <v>-108</v>
      </c>
      <c r="H19" s="114">
        <f t="shared" si="0"/>
        <v>-208</v>
      </c>
      <c r="I19" s="113"/>
      <c r="J19" s="113"/>
      <c r="K19" s="113"/>
    </row>
    <row r="20" spans="1:12" s="42" customFormat="1" ht="15" customHeight="1">
      <c r="A20" s="113" t="s">
        <v>82</v>
      </c>
      <c r="B20" s="114">
        <f>IF(C6=1,0,IF(C6=2,0,IF(C6=3,$B$15,-$B$15)))</f>
        <v>0</v>
      </c>
      <c r="C20" s="114">
        <f>IF(C6=1,0.006,IF(C6=2,-0.006,IF(C6=3,D9,-D9)))</f>
        <v>6.0000000000000001E-3</v>
      </c>
      <c r="D20" s="114">
        <f>IF(C6=1,0.49,IF(C6=2,-0.49,IF(C6=3,9.5,-9.5)))</f>
        <v>0.49</v>
      </c>
      <c r="E20" s="114">
        <f>IF(C6=1,4,IF(C6=2,-4,IF(C6=3,3.01,-3.01)))</f>
        <v>4</v>
      </c>
      <c r="F20" s="114">
        <f>IF(C6=1,11.59,IF(C6=2,-11.59,IF(C6=3,0.6,-0.6)))</f>
        <v>11.59</v>
      </c>
      <c r="G20" s="114">
        <f>IF(C6=1,21.07,IF(C6=2,-21.07,IF(C6=3,0.08,-0.08)))</f>
        <v>21.07</v>
      </c>
      <c r="H20" s="114">
        <f>IF(C6=1,50.99,IF(C6=2,-50.99,IF(C6=3,0,0)))</f>
        <v>50.99</v>
      </c>
      <c r="I20" s="113"/>
      <c r="J20" s="113"/>
      <c r="K20" s="113"/>
      <c r="L20" s="72"/>
    </row>
    <row r="21" spans="1:12" s="42" customFormat="1" ht="15" customHeight="1">
      <c r="A21" s="113" t="s">
        <v>83</v>
      </c>
      <c r="B21" s="114">
        <f>IF($C$6=1,B20-$B$13,IF($C$6=2,B20+$B$13,IF($C$6=3,B20-$B$13,B20+$B$13)))</f>
        <v>-130</v>
      </c>
      <c r="C21" s="114">
        <f t="shared" ref="C21:H21" si="1">IF($C$6=1,C20-$B$13,IF($C$6=2,C20+$B$13,IF($C$6=3,C20-$B$13,C20+$B$13)))</f>
        <v>-129.994</v>
      </c>
      <c r="D21" s="114">
        <f t="shared" si="1"/>
        <v>-129.51</v>
      </c>
      <c r="E21" s="114">
        <f t="shared" si="1"/>
        <v>-126</v>
      </c>
      <c r="F21" s="114">
        <f t="shared" si="1"/>
        <v>-118.41</v>
      </c>
      <c r="G21" s="114">
        <f t="shared" si="1"/>
        <v>-108.93</v>
      </c>
      <c r="H21" s="114">
        <f t="shared" si="1"/>
        <v>-79.009999999999991</v>
      </c>
      <c r="I21" s="113"/>
      <c r="J21" s="113"/>
      <c r="K21" s="113"/>
    </row>
    <row r="22" spans="1:12" s="42" customFormat="1" ht="15" customHeight="1">
      <c r="A22" s="113" t="s">
        <v>84</v>
      </c>
      <c r="B22" s="114">
        <f t="shared" ref="B22:H22" si="2">B19+B21</f>
        <v>-38</v>
      </c>
      <c r="C22" s="114">
        <f t="shared" si="2"/>
        <v>-37.994</v>
      </c>
      <c r="D22" s="114">
        <f t="shared" si="2"/>
        <v>-37.509999999999991</v>
      </c>
      <c r="E22" s="114">
        <f t="shared" si="2"/>
        <v>-34</v>
      </c>
      <c r="F22" s="114">
        <f t="shared" si="2"/>
        <v>-126.41</v>
      </c>
      <c r="G22" s="114">
        <f t="shared" si="2"/>
        <v>-216.93</v>
      </c>
      <c r="H22" s="114">
        <f t="shared" si="2"/>
        <v>-287.01</v>
      </c>
      <c r="I22" s="113"/>
      <c r="J22" s="113"/>
      <c r="K22" s="113"/>
    </row>
    <row r="23" spans="1:12" s="42" customFormat="1" ht="15" customHeight="1">
      <c r="A23" s="113" t="s">
        <v>77</v>
      </c>
      <c r="B23" s="113"/>
      <c r="C23" s="113"/>
      <c r="D23" s="113"/>
      <c r="E23" s="113"/>
      <c r="F23" s="113"/>
      <c r="G23" s="113"/>
      <c r="H23" s="113"/>
      <c r="I23" s="113">
        <v>2300</v>
      </c>
      <c r="J23" s="113">
        <v>-2300</v>
      </c>
      <c r="K23" s="113"/>
    </row>
    <row r="24" spans="1:12" s="42" customFormat="1" ht="15" customHeight="1"/>
  </sheetData>
  <phoneticPr fontId="14" type="noConversion"/>
  <pageMargins left="0.7" right="0.7" top="0.75" bottom="0.75" header="0.3" footer="0.3"/>
  <drawing r:id="rId1"/>
  <legacyDrawing r:id="rId2"/>
  <controls>
    <control shapeId="10242" r:id="rId3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J20"/>
  <sheetViews>
    <sheetView workbookViewId="0">
      <selection activeCell="L29" sqref="L29"/>
    </sheetView>
  </sheetViews>
  <sheetFormatPr defaultRowHeight="15" customHeight="1"/>
  <cols>
    <col min="1" max="1" width="23" style="2" customWidth="1"/>
    <col min="2" max="256" width="9" style="2"/>
    <col min="257" max="257" width="23" style="2" customWidth="1"/>
    <col min="258" max="512" width="9" style="2"/>
    <col min="513" max="513" width="23" style="2" customWidth="1"/>
    <col min="514" max="768" width="9" style="2"/>
    <col min="769" max="769" width="23" style="2" customWidth="1"/>
    <col min="770" max="1024" width="9" style="2"/>
    <col min="1025" max="1025" width="23" style="2" customWidth="1"/>
    <col min="1026" max="1280" width="9" style="2"/>
    <col min="1281" max="1281" width="23" style="2" customWidth="1"/>
    <col min="1282" max="1536" width="9" style="2"/>
    <col min="1537" max="1537" width="23" style="2" customWidth="1"/>
    <col min="1538" max="1792" width="9" style="2"/>
    <col min="1793" max="1793" width="23" style="2" customWidth="1"/>
    <col min="1794" max="2048" width="9" style="2"/>
    <col min="2049" max="2049" width="23" style="2" customWidth="1"/>
    <col min="2050" max="2304" width="9" style="2"/>
    <col min="2305" max="2305" width="23" style="2" customWidth="1"/>
    <col min="2306" max="2560" width="9" style="2"/>
    <col min="2561" max="2561" width="23" style="2" customWidth="1"/>
    <col min="2562" max="2816" width="9" style="2"/>
    <col min="2817" max="2817" width="23" style="2" customWidth="1"/>
    <col min="2818" max="3072" width="9" style="2"/>
    <col min="3073" max="3073" width="23" style="2" customWidth="1"/>
    <col min="3074" max="3328" width="9" style="2"/>
    <col min="3329" max="3329" width="23" style="2" customWidth="1"/>
    <col min="3330" max="3584" width="9" style="2"/>
    <col min="3585" max="3585" width="23" style="2" customWidth="1"/>
    <col min="3586" max="3840" width="9" style="2"/>
    <col min="3841" max="3841" width="23" style="2" customWidth="1"/>
    <col min="3842" max="4096" width="9" style="2"/>
    <col min="4097" max="4097" width="23" style="2" customWidth="1"/>
    <col min="4098" max="4352" width="9" style="2"/>
    <col min="4353" max="4353" width="23" style="2" customWidth="1"/>
    <col min="4354" max="4608" width="9" style="2"/>
    <col min="4609" max="4609" width="23" style="2" customWidth="1"/>
    <col min="4610" max="4864" width="9" style="2"/>
    <col min="4865" max="4865" width="23" style="2" customWidth="1"/>
    <col min="4866" max="5120" width="9" style="2"/>
    <col min="5121" max="5121" width="23" style="2" customWidth="1"/>
    <col min="5122" max="5376" width="9" style="2"/>
    <col min="5377" max="5377" width="23" style="2" customWidth="1"/>
    <col min="5378" max="5632" width="9" style="2"/>
    <col min="5633" max="5633" width="23" style="2" customWidth="1"/>
    <col min="5634" max="5888" width="9" style="2"/>
    <col min="5889" max="5889" width="23" style="2" customWidth="1"/>
    <col min="5890" max="6144" width="9" style="2"/>
    <col min="6145" max="6145" width="23" style="2" customWidth="1"/>
    <col min="6146" max="6400" width="9" style="2"/>
    <col min="6401" max="6401" width="23" style="2" customWidth="1"/>
    <col min="6402" max="6656" width="9" style="2"/>
    <col min="6657" max="6657" width="23" style="2" customWidth="1"/>
    <col min="6658" max="6912" width="9" style="2"/>
    <col min="6913" max="6913" width="23" style="2" customWidth="1"/>
    <col min="6914" max="7168" width="9" style="2"/>
    <col min="7169" max="7169" width="23" style="2" customWidth="1"/>
    <col min="7170" max="7424" width="9" style="2"/>
    <col min="7425" max="7425" width="23" style="2" customWidth="1"/>
    <col min="7426" max="7680" width="9" style="2"/>
    <col min="7681" max="7681" width="23" style="2" customWidth="1"/>
    <col min="7682" max="7936" width="9" style="2"/>
    <col min="7937" max="7937" width="23" style="2" customWidth="1"/>
    <col min="7938" max="8192" width="9" style="2"/>
    <col min="8193" max="8193" width="23" style="2" customWidth="1"/>
    <col min="8194" max="8448" width="9" style="2"/>
    <col min="8449" max="8449" width="23" style="2" customWidth="1"/>
    <col min="8450" max="8704" width="9" style="2"/>
    <col min="8705" max="8705" width="23" style="2" customWidth="1"/>
    <col min="8706" max="8960" width="9" style="2"/>
    <col min="8961" max="8961" width="23" style="2" customWidth="1"/>
    <col min="8962" max="9216" width="9" style="2"/>
    <col min="9217" max="9217" width="23" style="2" customWidth="1"/>
    <col min="9218" max="9472" width="9" style="2"/>
    <col min="9473" max="9473" width="23" style="2" customWidth="1"/>
    <col min="9474" max="9728" width="9" style="2"/>
    <col min="9729" max="9729" width="23" style="2" customWidth="1"/>
    <col min="9730" max="9984" width="9" style="2"/>
    <col min="9985" max="9985" width="23" style="2" customWidth="1"/>
    <col min="9986" max="10240" width="9" style="2"/>
    <col min="10241" max="10241" width="23" style="2" customWidth="1"/>
    <col min="10242" max="10496" width="9" style="2"/>
    <col min="10497" max="10497" width="23" style="2" customWidth="1"/>
    <col min="10498" max="10752" width="9" style="2"/>
    <col min="10753" max="10753" width="23" style="2" customWidth="1"/>
    <col min="10754" max="11008" width="9" style="2"/>
    <col min="11009" max="11009" width="23" style="2" customWidth="1"/>
    <col min="11010" max="11264" width="9" style="2"/>
    <col min="11265" max="11265" width="23" style="2" customWidth="1"/>
    <col min="11266" max="11520" width="9" style="2"/>
    <col min="11521" max="11521" width="23" style="2" customWidth="1"/>
    <col min="11522" max="11776" width="9" style="2"/>
    <col min="11777" max="11777" width="23" style="2" customWidth="1"/>
    <col min="11778" max="12032" width="9" style="2"/>
    <col min="12033" max="12033" width="23" style="2" customWidth="1"/>
    <col min="12034" max="12288" width="9" style="2"/>
    <col min="12289" max="12289" width="23" style="2" customWidth="1"/>
    <col min="12290" max="12544" width="9" style="2"/>
    <col min="12545" max="12545" width="23" style="2" customWidth="1"/>
    <col min="12546" max="12800" width="9" style="2"/>
    <col min="12801" max="12801" width="23" style="2" customWidth="1"/>
    <col min="12802" max="13056" width="9" style="2"/>
    <col min="13057" max="13057" width="23" style="2" customWidth="1"/>
    <col min="13058" max="13312" width="9" style="2"/>
    <col min="13313" max="13313" width="23" style="2" customWidth="1"/>
    <col min="13314" max="13568" width="9" style="2"/>
    <col min="13569" max="13569" width="23" style="2" customWidth="1"/>
    <col min="13570" max="13824" width="9" style="2"/>
    <col min="13825" max="13825" width="23" style="2" customWidth="1"/>
    <col min="13826" max="14080" width="9" style="2"/>
    <col min="14081" max="14081" width="23" style="2" customWidth="1"/>
    <col min="14082" max="14336" width="9" style="2"/>
    <col min="14337" max="14337" width="23" style="2" customWidth="1"/>
    <col min="14338" max="14592" width="9" style="2"/>
    <col min="14593" max="14593" width="23" style="2" customWidth="1"/>
    <col min="14594" max="14848" width="9" style="2"/>
    <col min="14849" max="14849" width="23" style="2" customWidth="1"/>
    <col min="14850" max="15104" width="9" style="2"/>
    <col min="15105" max="15105" width="23" style="2" customWidth="1"/>
    <col min="15106" max="15360" width="9" style="2"/>
    <col min="15361" max="15361" width="23" style="2" customWidth="1"/>
    <col min="15362" max="15616" width="9" style="2"/>
    <col min="15617" max="15617" width="23" style="2" customWidth="1"/>
    <col min="15618" max="15872" width="9" style="2"/>
    <col min="15873" max="15873" width="23" style="2" customWidth="1"/>
    <col min="15874" max="16128" width="9" style="2"/>
    <col min="16129" max="16129" width="23" style="2" customWidth="1"/>
    <col min="16130" max="16384" width="9" style="2"/>
  </cols>
  <sheetData>
    <row r="1" spans="1:10" ht="15" customHeight="1">
      <c r="E1" s="38" t="s">
        <v>85</v>
      </c>
    </row>
    <row r="2" spans="1:10" ht="15" customHeight="1">
      <c r="A2" s="39" t="s">
        <v>30</v>
      </c>
    </row>
    <row r="3" spans="1:10" s="42" customFormat="1" ht="15" customHeight="1">
      <c r="A3" s="42" t="s">
        <v>31</v>
      </c>
      <c r="C3" s="42">
        <v>1</v>
      </c>
      <c r="D3" s="46" t="s">
        <v>41</v>
      </c>
      <c r="E3" s="71" t="str">
        <f>IF(C3=1,"底部跨式组合","顶部跨式组合")</f>
        <v>底部跨式组合</v>
      </c>
    </row>
    <row r="4" spans="1:10" s="42" customFormat="1" ht="15" customHeight="1">
      <c r="A4" s="62" t="str">
        <f>IF(C3=1,"看涨期权多头","看涨期权空头")</f>
        <v>看涨期权多头</v>
      </c>
      <c r="D4" s="46"/>
    </row>
    <row r="5" spans="1:10" s="42" customFormat="1" ht="15" customHeight="1">
      <c r="A5" s="42" t="s">
        <v>34</v>
      </c>
      <c r="B5" s="63">
        <v>2300</v>
      </c>
    </row>
    <row r="6" spans="1:10" s="42" customFormat="1" ht="15" customHeight="1">
      <c r="A6" s="42" t="s">
        <v>35</v>
      </c>
      <c r="B6" s="63">
        <v>37</v>
      </c>
      <c r="J6" s="53" t="s">
        <v>86</v>
      </c>
    </row>
    <row r="7" spans="1:10" s="42" customFormat="1" ht="15" customHeight="1">
      <c r="A7" s="62" t="str">
        <f>IF(C3=1,"看跌期权多头","看跌期权空头")</f>
        <v>看跌期权多头</v>
      </c>
      <c r="B7" s="50"/>
      <c r="J7" s="53" t="s">
        <v>87</v>
      </c>
    </row>
    <row r="8" spans="1:10" s="42" customFormat="1" ht="15" customHeight="1">
      <c r="A8" s="42" t="s">
        <v>34</v>
      </c>
      <c r="B8" s="63">
        <v>2300</v>
      </c>
    </row>
    <row r="9" spans="1:10" s="42" customFormat="1" ht="15" customHeight="1">
      <c r="A9" s="42" t="s">
        <v>35</v>
      </c>
      <c r="B9" s="63">
        <v>37</v>
      </c>
    </row>
    <row r="12" spans="1:10" ht="15" customHeight="1">
      <c r="A12" s="39" t="s">
        <v>36</v>
      </c>
    </row>
    <row r="13" spans="1:10" s="42" customFormat="1" ht="15" customHeight="1">
      <c r="A13" s="42" t="s">
        <v>37</v>
      </c>
      <c r="B13" s="49">
        <v>0</v>
      </c>
      <c r="C13" s="49">
        <f>B5</f>
        <v>2300</v>
      </c>
      <c r="D13" s="49">
        <f>C13*1.2</f>
        <v>2760</v>
      </c>
      <c r="E13" s="50">
        <f>B5</f>
        <v>2300</v>
      </c>
      <c r="F13" s="50">
        <f>B5</f>
        <v>2300</v>
      </c>
    </row>
    <row r="14" spans="1:10" s="42" customFormat="1" ht="15" customHeight="1">
      <c r="A14" s="42" t="s">
        <v>88</v>
      </c>
      <c r="B14" s="49">
        <f>IF($C$3=1,MAX(B13-$B$5,0)-$B$6,-MAX(B13-$B$5,0)+$B$6)</f>
        <v>-37</v>
      </c>
      <c r="C14" s="49">
        <f>IF($C$3=1,MAX(C13-$B$5,0)-$B$6,-MAX(C13-$B$5,0)+$B$6)</f>
        <v>-37</v>
      </c>
      <c r="D14" s="49">
        <f>IF($C$3=1,MAX(D13-$B$5,0)-$B$6,-MAX(D13-$B$5,0)+$B$6)</f>
        <v>423</v>
      </c>
      <c r="E14" s="59"/>
      <c r="F14" s="59"/>
      <c r="G14" s="48"/>
      <c r="H14" s="48"/>
    </row>
    <row r="15" spans="1:10" s="42" customFormat="1" ht="15" customHeight="1">
      <c r="A15" s="42" t="s">
        <v>89</v>
      </c>
      <c r="B15" s="49">
        <f>IF($C$3=1,MAX($B$8-B13,0)-$B$9,-MAX($B$8-B13,0)+$B$9)</f>
        <v>2263</v>
      </c>
      <c r="C15" s="49">
        <f>IF($C$3=1,MAX($B$8-C13,0)-$B$9,-MAX($B$8-C13,0)+$B$9)</f>
        <v>-37</v>
      </c>
      <c r="D15" s="49">
        <f>IF($C$3=1,MAX($B$8-D13,0)-$B$9,-MAX($B$8-D13,0)+$B$9)</f>
        <v>-37</v>
      </c>
      <c r="E15" s="59"/>
      <c r="F15" s="59"/>
      <c r="G15" s="48"/>
      <c r="H15" s="48"/>
    </row>
    <row r="16" spans="1:10" s="42" customFormat="1" ht="15" customHeight="1">
      <c r="A16" s="42" t="s">
        <v>39</v>
      </c>
      <c r="B16" s="49">
        <f>B14+B15</f>
        <v>2226</v>
      </c>
      <c r="C16" s="49">
        <f>C14+C15</f>
        <v>-74</v>
      </c>
      <c r="D16" s="49">
        <f>D14+D15</f>
        <v>386</v>
      </c>
      <c r="E16" s="59"/>
      <c r="F16" s="59"/>
      <c r="G16" s="48"/>
      <c r="H16" s="48"/>
    </row>
    <row r="17" spans="1:8" s="42" customFormat="1" ht="15" customHeight="1">
      <c r="A17" s="42" t="s">
        <v>40</v>
      </c>
      <c r="B17" s="59"/>
      <c r="C17" s="59"/>
      <c r="D17" s="59"/>
      <c r="E17" s="59">
        <f>B8</f>
        <v>2300</v>
      </c>
      <c r="F17" s="59">
        <f>-B8</f>
        <v>-2300</v>
      </c>
      <c r="G17" s="48"/>
      <c r="H17" s="48"/>
    </row>
    <row r="18" spans="1:8" s="42" customFormat="1" ht="15" customHeight="1"/>
    <row r="19" spans="1:8" s="42" customFormat="1" ht="15" customHeight="1"/>
    <row r="20" spans="1:8" s="42" customFormat="1" ht="15" customHeight="1"/>
  </sheetData>
  <phoneticPr fontId="14" type="noConversion"/>
  <pageMargins left="0.7" right="0.7" top="0.75" bottom="0.75" header="0.3" footer="0.3"/>
  <drawing r:id="rId1"/>
  <legacyDrawing r:id="rId2"/>
  <controls>
    <control shapeId="12289" r:id="rId3" name="CommandButton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J20"/>
  <sheetViews>
    <sheetView workbookViewId="0">
      <selection activeCell="L30" sqref="L30"/>
    </sheetView>
  </sheetViews>
  <sheetFormatPr defaultRowHeight="15" customHeight="1"/>
  <cols>
    <col min="1" max="1" width="21.5" style="2" customWidth="1"/>
    <col min="2" max="256" width="9" style="2"/>
    <col min="257" max="257" width="21.5" style="2" customWidth="1"/>
    <col min="258" max="512" width="9" style="2"/>
    <col min="513" max="513" width="21.5" style="2" customWidth="1"/>
    <col min="514" max="768" width="9" style="2"/>
    <col min="769" max="769" width="21.5" style="2" customWidth="1"/>
    <col min="770" max="1024" width="9" style="2"/>
    <col min="1025" max="1025" width="21.5" style="2" customWidth="1"/>
    <col min="1026" max="1280" width="9" style="2"/>
    <col min="1281" max="1281" width="21.5" style="2" customWidth="1"/>
    <col min="1282" max="1536" width="9" style="2"/>
    <col min="1537" max="1537" width="21.5" style="2" customWidth="1"/>
    <col min="1538" max="1792" width="9" style="2"/>
    <col min="1793" max="1793" width="21.5" style="2" customWidth="1"/>
    <col min="1794" max="2048" width="9" style="2"/>
    <col min="2049" max="2049" width="21.5" style="2" customWidth="1"/>
    <col min="2050" max="2304" width="9" style="2"/>
    <col min="2305" max="2305" width="21.5" style="2" customWidth="1"/>
    <col min="2306" max="2560" width="9" style="2"/>
    <col min="2561" max="2561" width="21.5" style="2" customWidth="1"/>
    <col min="2562" max="2816" width="9" style="2"/>
    <col min="2817" max="2817" width="21.5" style="2" customWidth="1"/>
    <col min="2818" max="3072" width="9" style="2"/>
    <col min="3073" max="3073" width="21.5" style="2" customWidth="1"/>
    <col min="3074" max="3328" width="9" style="2"/>
    <col min="3329" max="3329" width="21.5" style="2" customWidth="1"/>
    <col min="3330" max="3584" width="9" style="2"/>
    <col min="3585" max="3585" width="21.5" style="2" customWidth="1"/>
    <col min="3586" max="3840" width="9" style="2"/>
    <col min="3841" max="3841" width="21.5" style="2" customWidth="1"/>
    <col min="3842" max="4096" width="9" style="2"/>
    <col min="4097" max="4097" width="21.5" style="2" customWidth="1"/>
    <col min="4098" max="4352" width="9" style="2"/>
    <col min="4353" max="4353" width="21.5" style="2" customWidth="1"/>
    <col min="4354" max="4608" width="9" style="2"/>
    <col min="4609" max="4609" width="21.5" style="2" customWidth="1"/>
    <col min="4610" max="4864" width="9" style="2"/>
    <col min="4865" max="4865" width="21.5" style="2" customWidth="1"/>
    <col min="4866" max="5120" width="9" style="2"/>
    <col min="5121" max="5121" width="21.5" style="2" customWidth="1"/>
    <col min="5122" max="5376" width="9" style="2"/>
    <col min="5377" max="5377" width="21.5" style="2" customWidth="1"/>
    <col min="5378" max="5632" width="9" style="2"/>
    <col min="5633" max="5633" width="21.5" style="2" customWidth="1"/>
    <col min="5634" max="5888" width="9" style="2"/>
    <col min="5889" max="5889" width="21.5" style="2" customWidth="1"/>
    <col min="5890" max="6144" width="9" style="2"/>
    <col min="6145" max="6145" width="21.5" style="2" customWidth="1"/>
    <col min="6146" max="6400" width="9" style="2"/>
    <col min="6401" max="6401" width="21.5" style="2" customWidth="1"/>
    <col min="6402" max="6656" width="9" style="2"/>
    <col min="6657" max="6657" width="21.5" style="2" customWidth="1"/>
    <col min="6658" max="6912" width="9" style="2"/>
    <col min="6913" max="6913" width="21.5" style="2" customWidth="1"/>
    <col min="6914" max="7168" width="9" style="2"/>
    <col min="7169" max="7169" width="21.5" style="2" customWidth="1"/>
    <col min="7170" max="7424" width="9" style="2"/>
    <col min="7425" max="7425" width="21.5" style="2" customWidth="1"/>
    <col min="7426" max="7680" width="9" style="2"/>
    <col min="7681" max="7681" width="21.5" style="2" customWidth="1"/>
    <col min="7682" max="7936" width="9" style="2"/>
    <col min="7937" max="7937" width="21.5" style="2" customWidth="1"/>
    <col min="7938" max="8192" width="9" style="2"/>
    <col min="8193" max="8193" width="21.5" style="2" customWidth="1"/>
    <col min="8194" max="8448" width="9" style="2"/>
    <col min="8449" max="8449" width="21.5" style="2" customWidth="1"/>
    <col min="8450" max="8704" width="9" style="2"/>
    <col min="8705" max="8705" width="21.5" style="2" customWidth="1"/>
    <col min="8706" max="8960" width="9" style="2"/>
    <col min="8961" max="8961" width="21.5" style="2" customWidth="1"/>
    <col min="8962" max="9216" width="9" style="2"/>
    <col min="9217" max="9217" width="21.5" style="2" customWidth="1"/>
    <col min="9218" max="9472" width="9" style="2"/>
    <col min="9473" max="9473" width="21.5" style="2" customWidth="1"/>
    <col min="9474" max="9728" width="9" style="2"/>
    <col min="9729" max="9729" width="21.5" style="2" customWidth="1"/>
    <col min="9730" max="9984" width="9" style="2"/>
    <col min="9985" max="9985" width="21.5" style="2" customWidth="1"/>
    <col min="9986" max="10240" width="9" style="2"/>
    <col min="10241" max="10241" width="21.5" style="2" customWidth="1"/>
    <col min="10242" max="10496" width="9" style="2"/>
    <col min="10497" max="10497" width="21.5" style="2" customWidth="1"/>
    <col min="10498" max="10752" width="9" style="2"/>
    <col min="10753" max="10753" width="21.5" style="2" customWidth="1"/>
    <col min="10754" max="11008" width="9" style="2"/>
    <col min="11009" max="11009" width="21.5" style="2" customWidth="1"/>
    <col min="11010" max="11264" width="9" style="2"/>
    <col min="11265" max="11265" width="21.5" style="2" customWidth="1"/>
    <col min="11266" max="11520" width="9" style="2"/>
    <col min="11521" max="11521" width="21.5" style="2" customWidth="1"/>
    <col min="11522" max="11776" width="9" style="2"/>
    <col min="11777" max="11777" width="21.5" style="2" customWidth="1"/>
    <col min="11778" max="12032" width="9" style="2"/>
    <col min="12033" max="12033" width="21.5" style="2" customWidth="1"/>
    <col min="12034" max="12288" width="9" style="2"/>
    <col min="12289" max="12289" width="21.5" style="2" customWidth="1"/>
    <col min="12290" max="12544" width="9" style="2"/>
    <col min="12545" max="12545" width="21.5" style="2" customWidth="1"/>
    <col min="12546" max="12800" width="9" style="2"/>
    <col min="12801" max="12801" width="21.5" style="2" customWidth="1"/>
    <col min="12802" max="13056" width="9" style="2"/>
    <col min="13057" max="13057" width="21.5" style="2" customWidth="1"/>
    <col min="13058" max="13312" width="9" style="2"/>
    <col min="13313" max="13313" width="21.5" style="2" customWidth="1"/>
    <col min="13314" max="13568" width="9" style="2"/>
    <col min="13569" max="13569" width="21.5" style="2" customWidth="1"/>
    <col min="13570" max="13824" width="9" style="2"/>
    <col min="13825" max="13825" width="21.5" style="2" customWidth="1"/>
    <col min="13826" max="14080" width="9" style="2"/>
    <col min="14081" max="14081" width="21.5" style="2" customWidth="1"/>
    <col min="14082" max="14336" width="9" style="2"/>
    <col min="14337" max="14337" width="21.5" style="2" customWidth="1"/>
    <col min="14338" max="14592" width="9" style="2"/>
    <col min="14593" max="14593" width="21.5" style="2" customWidth="1"/>
    <col min="14594" max="14848" width="9" style="2"/>
    <col min="14849" max="14849" width="21.5" style="2" customWidth="1"/>
    <col min="14850" max="15104" width="9" style="2"/>
    <col min="15105" max="15105" width="21.5" style="2" customWidth="1"/>
    <col min="15106" max="15360" width="9" style="2"/>
    <col min="15361" max="15361" width="21.5" style="2" customWidth="1"/>
    <col min="15362" max="15616" width="9" style="2"/>
    <col min="15617" max="15617" width="21.5" style="2" customWidth="1"/>
    <col min="15618" max="15872" width="9" style="2"/>
    <col min="15873" max="15873" width="21.5" style="2" customWidth="1"/>
    <col min="15874" max="16128" width="9" style="2"/>
    <col min="16129" max="16129" width="21.5" style="2" customWidth="1"/>
    <col min="16130" max="16384" width="9" style="2"/>
  </cols>
  <sheetData>
    <row r="1" spans="1:10" ht="15" customHeight="1">
      <c r="E1" s="38" t="s">
        <v>90</v>
      </c>
    </row>
    <row r="2" spans="1:10" ht="15" customHeight="1">
      <c r="A2" s="39" t="s">
        <v>30</v>
      </c>
    </row>
    <row r="3" spans="1:10" s="42" customFormat="1" ht="15" customHeight="1">
      <c r="A3" s="42" t="s">
        <v>31</v>
      </c>
      <c r="C3" s="42">
        <v>1</v>
      </c>
      <c r="E3" s="46" t="s">
        <v>41</v>
      </c>
      <c r="F3" s="71" t="str">
        <f>IF(C3=1,"底部条式组合","顶部条式组合")</f>
        <v>底部条式组合</v>
      </c>
    </row>
    <row r="4" spans="1:10" s="42" customFormat="1" ht="15" customHeight="1">
      <c r="A4" s="62" t="str">
        <f>IF(C3=1,"看涨期权多头","看涨期权空头")</f>
        <v>看涨期权多头</v>
      </c>
    </row>
    <row r="5" spans="1:10" s="42" customFormat="1" ht="15" customHeight="1">
      <c r="A5" s="42" t="s">
        <v>60</v>
      </c>
      <c r="B5" s="63">
        <v>2300</v>
      </c>
      <c r="J5" s="53" t="s">
        <v>91</v>
      </c>
    </row>
    <row r="6" spans="1:10" s="42" customFormat="1" ht="15" customHeight="1">
      <c r="A6" s="42" t="s">
        <v>35</v>
      </c>
      <c r="B6" s="63">
        <v>37</v>
      </c>
      <c r="J6" s="53" t="s">
        <v>92</v>
      </c>
    </row>
    <row r="7" spans="1:10" s="42" customFormat="1" ht="15" customHeight="1">
      <c r="A7" s="62" t="str">
        <f>IF(C3=1,"看跌期权多头","看跌期权空头")</f>
        <v>看跌期权多头</v>
      </c>
      <c r="B7" s="50"/>
    </row>
    <row r="8" spans="1:10" s="42" customFormat="1" ht="15" customHeight="1">
      <c r="A8" s="42" t="s">
        <v>34</v>
      </c>
      <c r="B8" s="63">
        <v>2300</v>
      </c>
    </row>
    <row r="9" spans="1:10" s="42" customFormat="1" ht="15" customHeight="1">
      <c r="A9" s="42" t="s">
        <v>35</v>
      </c>
      <c r="B9" s="63">
        <v>37</v>
      </c>
    </row>
    <row r="12" spans="1:10" ht="15" customHeight="1">
      <c r="A12" s="39" t="s">
        <v>36</v>
      </c>
    </row>
    <row r="13" spans="1:10" s="42" customFormat="1" ht="15" customHeight="1">
      <c r="A13" s="42" t="s">
        <v>93</v>
      </c>
      <c r="B13" s="49">
        <v>0</v>
      </c>
      <c r="C13" s="49">
        <f>B5</f>
        <v>2300</v>
      </c>
      <c r="D13" s="49">
        <f>C13*1.2</f>
        <v>2760</v>
      </c>
      <c r="E13" s="50">
        <f>B5</f>
        <v>2300</v>
      </c>
      <c r="F13" s="50">
        <f>B5</f>
        <v>2300</v>
      </c>
    </row>
    <row r="14" spans="1:10" s="42" customFormat="1" ht="15" customHeight="1">
      <c r="A14" s="42" t="s">
        <v>88</v>
      </c>
      <c r="B14" s="49">
        <f>IF($C$3=1,MAX(B13-$B$5,0)-$B$6,-MAX(B13-$B$5,0)+$B$6)</f>
        <v>-37</v>
      </c>
      <c r="C14" s="49">
        <f>IF($C$3=1,MAX(C13-$B$5,0)-$B$6,-MAX(C13-$B$5,0)+$B$6)</f>
        <v>-37</v>
      </c>
      <c r="D14" s="49">
        <f>IF($C$3=1,MAX(D13-$B$5,0)-$B$6,-MAX(D13-$B$5,0)+$B$6)</f>
        <v>423</v>
      </c>
      <c r="E14" s="59"/>
      <c r="F14" s="59"/>
      <c r="G14" s="48"/>
      <c r="H14" s="48"/>
    </row>
    <row r="15" spans="1:10" s="42" customFormat="1" ht="15" customHeight="1">
      <c r="A15" s="42" t="s">
        <v>89</v>
      </c>
      <c r="B15" s="49">
        <f>IF($C$3=1,MAX($B$8-B13,0)-$B$9,-MAX($B$8-B13,0)+$B$9)*2</f>
        <v>4526</v>
      </c>
      <c r="C15" s="49">
        <f>IF($C$3=1,MAX($B$8-C13,0)-$B$9,-MAX($B$8-C13,0)+$B$9)*2</f>
        <v>-74</v>
      </c>
      <c r="D15" s="49">
        <f>IF($C$3=1,MAX($B$8-D13,0)-$B$9,-MAX($B$8-D13,0)+$B$9)*2</f>
        <v>-74</v>
      </c>
      <c r="E15" s="59"/>
      <c r="F15" s="59"/>
      <c r="G15" s="48"/>
      <c r="H15" s="48"/>
    </row>
    <row r="16" spans="1:10" s="42" customFormat="1" ht="15" customHeight="1">
      <c r="A16" s="42" t="s">
        <v>94</v>
      </c>
      <c r="B16" s="49">
        <f>B14+B15</f>
        <v>4489</v>
      </c>
      <c r="C16" s="49">
        <f>C14+C15</f>
        <v>-111</v>
      </c>
      <c r="D16" s="49">
        <f>D14+D15</f>
        <v>349</v>
      </c>
      <c r="E16" s="59"/>
      <c r="F16" s="59"/>
      <c r="G16" s="48"/>
      <c r="H16" s="48"/>
    </row>
    <row r="17" spans="1:8" s="42" customFormat="1" ht="15" customHeight="1">
      <c r="A17" s="42" t="s">
        <v>95</v>
      </c>
      <c r="B17" s="59"/>
      <c r="C17" s="59"/>
      <c r="D17" s="59"/>
      <c r="E17" s="59">
        <v>50</v>
      </c>
      <c r="F17" s="59">
        <v>-50</v>
      </c>
      <c r="G17" s="48"/>
      <c r="H17" s="48"/>
    </row>
    <row r="18" spans="1:8" s="42" customFormat="1" ht="15" customHeight="1"/>
    <row r="19" spans="1:8" s="42" customFormat="1" ht="15" customHeight="1"/>
    <row r="20" spans="1:8" s="42" customFormat="1" ht="15" customHeight="1"/>
  </sheetData>
  <phoneticPr fontId="14" type="noConversion"/>
  <pageMargins left="0.7" right="0.7" top="0.75" bottom="0.75" header="0.3" footer="0.3"/>
  <drawing r:id="rId1"/>
  <legacyDrawing r:id="rId2"/>
  <controls>
    <control shapeId="14337" r:id="rId3" name="CommandButton1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J23"/>
  <sheetViews>
    <sheetView workbookViewId="0">
      <selection activeCell="L16" sqref="L16"/>
    </sheetView>
  </sheetViews>
  <sheetFormatPr defaultRowHeight="15" customHeight="1"/>
  <cols>
    <col min="1" max="1" width="21.5" style="2" customWidth="1"/>
    <col min="2" max="256" width="9" style="2"/>
    <col min="257" max="257" width="21.5" style="2" customWidth="1"/>
    <col min="258" max="512" width="9" style="2"/>
    <col min="513" max="513" width="21.5" style="2" customWidth="1"/>
    <col min="514" max="768" width="9" style="2"/>
    <col min="769" max="769" width="21.5" style="2" customWidth="1"/>
    <col min="770" max="1024" width="9" style="2"/>
    <col min="1025" max="1025" width="21.5" style="2" customWidth="1"/>
    <col min="1026" max="1280" width="9" style="2"/>
    <col min="1281" max="1281" width="21.5" style="2" customWidth="1"/>
    <col min="1282" max="1536" width="9" style="2"/>
    <col min="1537" max="1537" width="21.5" style="2" customWidth="1"/>
    <col min="1538" max="1792" width="9" style="2"/>
    <col min="1793" max="1793" width="21.5" style="2" customWidth="1"/>
    <col min="1794" max="2048" width="9" style="2"/>
    <col min="2049" max="2049" width="21.5" style="2" customWidth="1"/>
    <col min="2050" max="2304" width="9" style="2"/>
    <col min="2305" max="2305" width="21.5" style="2" customWidth="1"/>
    <col min="2306" max="2560" width="9" style="2"/>
    <col min="2561" max="2561" width="21.5" style="2" customWidth="1"/>
    <col min="2562" max="2816" width="9" style="2"/>
    <col min="2817" max="2817" width="21.5" style="2" customWidth="1"/>
    <col min="2818" max="3072" width="9" style="2"/>
    <col min="3073" max="3073" width="21.5" style="2" customWidth="1"/>
    <col min="3074" max="3328" width="9" style="2"/>
    <col min="3329" max="3329" width="21.5" style="2" customWidth="1"/>
    <col min="3330" max="3584" width="9" style="2"/>
    <col min="3585" max="3585" width="21.5" style="2" customWidth="1"/>
    <col min="3586" max="3840" width="9" style="2"/>
    <col min="3841" max="3841" width="21.5" style="2" customWidth="1"/>
    <col min="3842" max="4096" width="9" style="2"/>
    <col min="4097" max="4097" width="21.5" style="2" customWidth="1"/>
    <col min="4098" max="4352" width="9" style="2"/>
    <col min="4353" max="4353" width="21.5" style="2" customWidth="1"/>
    <col min="4354" max="4608" width="9" style="2"/>
    <col min="4609" max="4609" width="21.5" style="2" customWidth="1"/>
    <col min="4610" max="4864" width="9" style="2"/>
    <col min="4865" max="4865" width="21.5" style="2" customWidth="1"/>
    <col min="4866" max="5120" width="9" style="2"/>
    <col min="5121" max="5121" width="21.5" style="2" customWidth="1"/>
    <col min="5122" max="5376" width="9" style="2"/>
    <col min="5377" max="5377" width="21.5" style="2" customWidth="1"/>
    <col min="5378" max="5632" width="9" style="2"/>
    <col min="5633" max="5633" width="21.5" style="2" customWidth="1"/>
    <col min="5634" max="5888" width="9" style="2"/>
    <col min="5889" max="5889" width="21.5" style="2" customWidth="1"/>
    <col min="5890" max="6144" width="9" style="2"/>
    <col min="6145" max="6145" width="21.5" style="2" customWidth="1"/>
    <col min="6146" max="6400" width="9" style="2"/>
    <col min="6401" max="6401" width="21.5" style="2" customWidth="1"/>
    <col min="6402" max="6656" width="9" style="2"/>
    <col min="6657" max="6657" width="21.5" style="2" customWidth="1"/>
    <col min="6658" max="6912" width="9" style="2"/>
    <col min="6913" max="6913" width="21.5" style="2" customWidth="1"/>
    <col min="6914" max="7168" width="9" style="2"/>
    <col min="7169" max="7169" width="21.5" style="2" customWidth="1"/>
    <col min="7170" max="7424" width="9" style="2"/>
    <col min="7425" max="7425" width="21.5" style="2" customWidth="1"/>
    <col min="7426" max="7680" width="9" style="2"/>
    <col min="7681" max="7681" width="21.5" style="2" customWidth="1"/>
    <col min="7682" max="7936" width="9" style="2"/>
    <col min="7937" max="7937" width="21.5" style="2" customWidth="1"/>
    <col min="7938" max="8192" width="9" style="2"/>
    <col min="8193" max="8193" width="21.5" style="2" customWidth="1"/>
    <col min="8194" max="8448" width="9" style="2"/>
    <col min="8449" max="8449" width="21.5" style="2" customWidth="1"/>
    <col min="8450" max="8704" width="9" style="2"/>
    <col min="8705" max="8705" width="21.5" style="2" customWidth="1"/>
    <col min="8706" max="8960" width="9" style="2"/>
    <col min="8961" max="8961" width="21.5" style="2" customWidth="1"/>
    <col min="8962" max="9216" width="9" style="2"/>
    <col min="9217" max="9217" width="21.5" style="2" customWidth="1"/>
    <col min="9218" max="9472" width="9" style="2"/>
    <col min="9473" max="9473" width="21.5" style="2" customWidth="1"/>
    <col min="9474" max="9728" width="9" style="2"/>
    <col min="9729" max="9729" width="21.5" style="2" customWidth="1"/>
    <col min="9730" max="9984" width="9" style="2"/>
    <col min="9985" max="9985" width="21.5" style="2" customWidth="1"/>
    <col min="9986" max="10240" width="9" style="2"/>
    <col min="10241" max="10241" width="21.5" style="2" customWidth="1"/>
    <col min="10242" max="10496" width="9" style="2"/>
    <col min="10497" max="10497" width="21.5" style="2" customWidth="1"/>
    <col min="10498" max="10752" width="9" style="2"/>
    <col min="10753" max="10753" width="21.5" style="2" customWidth="1"/>
    <col min="10754" max="11008" width="9" style="2"/>
    <col min="11009" max="11009" width="21.5" style="2" customWidth="1"/>
    <col min="11010" max="11264" width="9" style="2"/>
    <col min="11265" max="11265" width="21.5" style="2" customWidth="1"/>
    <col min="11266" max="11520" width="9" style="2"/>
    <col min="11521" max="11521" width="21.5" style="2" customWidth="1"/>
    <col min="11522" max="11776" width="9" style="2"/>
    <col min="11777" max="11777" width="21.5" style="2" customWidth="1"/>
    <col min="11778" max="12032" width="9" style="2"/>
    <col min="12033" max="12033" width="21.5" style="2" customWidth="1"/>
    <col min="12034" max="12288" width="9" style="2"/>
    <col min="12289" max="12289" width="21.5" style="2" customWidth="1"/>
    <col min="12290" max="12544" width="9" style="2"/>
    <col min="12545" max="12545" width="21.5" style="2" customWidth="1"/>
    <col min="12546" max="12800" width="9" style="2"/>
    <col min="12801" max="12801" width="21.5" style="2" customWidth="1"/>
    <col min="12802" max="13056" width="9" style="2"/>
    <col min="13057" max="13057" width="21.5" style="2" customWidth="1"/>
    <col min="13058" max="13312" width="9" style="2"/>
    <col min="13313" max="13313" width="21.5" style="2" customWidth="1"/>
    <col min="13314" max="13568" width="9" style="2"/>
    <col min="13569" max="13569" width="21.5" style="2" customWidth="1"/>
    <col min="13570" max="13824" width="9" style="2"/>
    <col min="13825" max="13825" width="21.5" style="2" customWidth="1"/>
    <col min="13826" max="14080" width="9" style="2"/>
    <col min="14081" max="14081" width="21.5" style="2" customWidth="1"/>
    <col min="14082" max="14336" width="9" style="2"/>
    <col min="14337" max="14337" width="21.5" style="2" customWidth="1"/>
    <col min="14338" max="14592" width="9" style="2"/>
    <col min="14593" max="14593" width="21.5" style="2" customWidth="1"/>
    <col min="14594" max="14848" width="9" style="2"/>
    <col min="14849" max="14849" width="21.5" style="2" customWidth="1"/>
    <col min="14850" max="15104" width="9" style="2"/>
    <col min="15105" max="15105" width="21.5" style="2" customWidth="1"/>
    <col min="15106" max="15360" width="9" style="2"/>
    <col min="15361" max="15361" width="21.5" style="2" customWidth="1"/>
    <col min="15362" max="15616" width="9" style="2"/>
    <col min="15617" max="15617" width="21.5" style="2" customWidth="1"/>
    <col min="15618" max="15872" width="9" style="2"/>
    <col min="15873" max="15873" width="21.5" style="2" customWidth="1"/>
    <col min="15874" max="16128" width="9" style="2"/>
    <col min="16129" max="16129" width="21.5" style="2" customWidth="1"/>
    <col min="16130" max="16384" width="9" style="2"/>
  </cols>
  <sheetData>
    <row r="1" spans="1:10" ht="15" customHeight="1">
      <c r="E1" s="38" t="s">
        <v>96</v>
      </c>
    </row>
    <row r="2" spans="1:10" ht="15" customHeight="1">
      <c r="C2" s="39"/>
    </row>
    <row r="3" spans="1:10" ht="15" customHeight="1">
      <c r="A3" s="40"/>
      <c r="B3" s="41"/>
      <c r="C3" s="41"/>
    </row>
    <row r="4" spans="1:10" ht="15" customHeight="1">
      <c r="C4" s="41"/>
      <c r="D4" s="41"/>
      <c r="E4" s="41"/>
    </row>
    <row r="5" spans="1:10" ht="15" customHeight="1">
      <c r="A5" s="39" t="s">
        <v>30</v>
      </c>
    </row>
    <row r="6" spans="1:10" s="42" customFormat="1" ht="15" customHeight="1">
      <c r="A6" s="42" t="s">
        <v>31</v>
      </c>
      <c r="C6" s="42">
        <v>1</v>
      </c>
      <c r="E6" s="46" t="s">
        <v>41</v>
      </c>
      <c r="F6" s="71" t="str">
        <f>IF(C6=1,"底部带式组合","顶部带式组合")</f>
        <v>底部带式组合</v>
      </c>
    </row>
    <row r="7" spans="1:10" s="42" customFormat="1" ht="15" customHeight="1">
      <c r="A7" s="62" t="str">
        <f>IF(C6=1,"看涨期权多头","看涨期权空头")</f>
        <v>看涨期权多头</v>
      </c>
    </row>
    <row r="8" spans="1:10" s="42" customFormat="1" ht="15" customHeight="1">
      <c r="A8" s="42" t="s">
        <v>34</v>
      </c>
      <c r="B8" s="63">
        <v>2300</v>
      </c>
      <c r="J8" s="53" t="s">
        <v>97</v>
      </c>
    </row>
    <row r="9" spans="1:10" s="42" customFormat="1" ht="15" customHeight="1">
      <c r="A9" s="42" t="s">
        <v>35</v>
      </c>
      <c r="B9" s="63">
        <v>37</v>
      </c>
      <c r="J9" s="53" t="s">
        <v>98</v>
      </c>
    </row>
    <row r="10" spans="1:10" s="42" customFormat="1" ht="15" customHeight="1">
      <c r="A10" s="62" t="str">
        <f>IF(C6=1,"看跌期权多头","看跌期权空头")</f>
        <v>看跌期权多头</v>
      </c>
      <c r="B10" s="50"/>
    </row>
    <row r="11" spans="1:10" s="42" customFormat="1" ht="15" customHeight="1">
      <c r="A11" s="42" t="s">
        <v>34</v>
      </c>
      <c r="B11" s="63">
        <v>2300</v>
      </c>
    </row>
    <row r="12" spans="1:10" s="42" customFormat="1" ht="15" customHeight="1">
      <c r="A12" s="42" t="s">
        <v>35</v>
      </c>
      <c r="B12" s="63">
        <v>32</v>
      </c>
    </row>
    <row r="13" spans="1:10" s="42" customFormat="1" ht="15" customHeight="1"/>
    <row r="14" spans="1:10" s="42" customFormat="1" ht="15" customHeight="1"/>
    <row r="15" spans="1:10" ht="15" customHeight="1">
      <c r="A15" s="39" t="s">
        <v>36</v>
      </c>
    </row>
    <row r="16" spans="1:10" s="42" customFormat="1" ht="15" customHeight="1">
      <c r="A16" s="42" t="s">
        <v>37</v>
      </c>
      <c r="B16" s="49">
        <f>C16*0.9</f>
        <v>2070</v>
      </c>
      <c r="C16" s="49">
        <f>B8</f>
        <v>2300</v>
      </c>
      <c r="D16" s="49">
        <f>C16*1.5</f>
        <v>3450</v>
      </c>
      <c r="E16" s="50">
        <f>B8</f>
        <v>2300</v>
      </c>
      <c r="F16" s="50">
        <f>B8</f>
        <v>2300</v>
      </c>
    </row>
    <row r="17" spans="1:8" s="42" customFormat="1" ht="15" customHeight="1">
      <c r="A17" s="42" t="s">
        <v>88</v>
      </c>
      <c r="B17" s="49">
        <f>IF($C$6=1,MAX(B16-$B$8,0)-$B$9,-MAX(B16-$B$8,0)+$B$9)*2</f>
        <v>-74</v>
      </c>
      <c r="C17" s="49">
        <f>IF($C$6=1,MAX(C16-$B$8,0)-$B$9,-MAX(C16-$B$8,0)+$B$9)*2</f>
        <v>-74</v>
      </c>
      <c r="D17" s="49">
        <f>IF($C$6=1,MAX(D16-$B$8,0)-$B$9,-MAX(D16-$B$8,0)+$B$9)*2</f>
        <v>2226</v>
      </c>
      <c r="E17" s="59"/>
      <c r="F17" s="59"/>
      <c r="G17" s="48"/>
      <c r="H17" s="48"/>
    </row>
    <row r="18" spans="1:8" s="42" customFormat="1" ht="15" customHeight="1">
      <c r="A18" s="42" t="s">
        <v>89</v>
      </c>
      <c r="B18" s="49">
        <f>IF($C$6=1,MAX($B$11-B16,0)-$B$12,-MAX($B$11-B16,0)+$B$12)</f>
        <v>198</v>
      </c>
      <c r="C18" s="49">
        <f>IF($C$6=1,MAX($B$11-C16,0)-$B$12,-MAX($B$11-C16,0)+$B$12)</f>
        <v>-32</v>
      </c>
      <c r="D18" s="49">
        <f>IF($C$6=1,MAX($B$11-D16,0)-$B$12,-MAX($B$11-D16,0)+$B$12)</f>
        <v>-32</v>
      </c>
      <c r="E18" s="59"/>
      <c r="F18" s="59"/>
      <c r="G18" s="48"/>
      <c r="H18" s="48"/>
    </row>
    <row r="19" spans="1:8" s="42" customFormat="1" ht="15" customHeight="1">
      <c r="A19" s="42" t="s">
        <v>39</v>
      </c>
      <c r="B19" s="49">
        <f>B17+B18</f>
        <v>124</v>
      </c>
      <c r="C19" s="49">
        <f>C17+C18</f>
        <v>-106</v>
      </c>
      <c r="D19" s="49">
        <f>D17+D18</f>
        <v>2194</v>
      </c>
      <c r="E19" s="59"/>
      <c r="F19" s="59"/>
      <c r="G19" s="48"/>
      <c r="H19" s="48"/>
    </row>
    <row r="20" spans="1:8" s="42" customFormat="1" ht="15" customHeight="1">
      <c r="A20" s="42" t="s">
        <v>40</v>
      </c>
      <c r="B20" s="59"/>
      <c r="C20" s="59"/>
      <c r="D20" s="59"/>
      <c r="E20" s="59">
        <f>B8</f>
        <v>2300</v>
      </c>
      <c r="F20" s="59">
        <f>-B8</f>
        <v>-2300</v>
      </c>
      <c r="G20" s="48"/>
      <c r="H20" s="48"/>
    </row>
    <row r="21" spans="1:8" s="42" customFormat="1" ht="15" customHeight="1"/>
    <row r="22" spans="1:8" s="42" customFormat="1" ht="15" customHeight="1"/>
    <row r="23" spans="1:8" s="42" customFormat="1" ht="15" customHeight="1"/>
  </sheetData>
  <phoneticPr fontId="14" type="noConversion"/>
  <pageMargins left="0.7" right="0.7" top="0.75" bottom="0.75" header="0.3" footer="0.3"/>
  <drawing r:id="rId1"/>
  <legacyDrawing r:id="rId2"/>
  <controls>
    <control shapeId="16385" r:id="rId3" name="CommandButton1"/>
  </control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J20"/>
  <sheetViews>
    <sheetView workbookViewId="0">
      <selection activeCell="L13" sqref="L13"/>
    </sheetView>
  </sheetViews>
  <sheetFormatPr defaultRowHeight="15" customHeight="1"/>
  <cols>
    <col min="1" max="1" width="22.875" style="2" customWidth="1"/>
    <col min="2" max="256" width="9" style="2"/>
    <col min="257" max="257" width="22.875" style="2" customWidth="1"/>
    <col min="258" max="512" width="9" style="2"/>
    <col min="513" max="513" width="22.875" style="2" customWidth="1"/>
    <col min="514" max="768" width="9" style="2"/>
    <col min="769" max="769" width="22.875" style="2" customWidth="1"/>
    <col min="770" max="1024" width="9" style="2"/>
    <col min="1025" max="1025" width="22.875" style="2" customWidth="1"/>
    <col min="1026" max="1280" width="9" style="2"/>
    <col min="1281" max="1281" width="22.875" style="2" customWidth="1"/>
    <col min="1282" max="1536" width="9" style="2"/>
    <col min="1537" max="1537" width="22.875" style="2" customWidth="1"/>
    <col min="1538" max="1792" width="9" style="2"/>
    <col min="1793" max="1793" width="22.875" style="2" customWidth="1"/>
    <col min="1794" max="2048" width="9" style="2"/>
    <col min="2049" max="2049" width="22.875" style="2" customWidth="1"/>
    <col min="2050" max="2304" width="9" style="2"/>
    <col min="2305" max="2305" width="22.875" style="2" customWidth="1"/>
    <col min="2306" max="2560" width="9" style="2"/>
    <col min="2561" max="2561" width="22.875" style="2" customWidth="1"/>
    <col min="2562" max="2816" width="9" style="2"/>
    <col min="2817" max="2817" width="22.875" style="2" customWidth="1"/>
    <col min="2818" max="3072" width="9" style="2"/>
    <col min="3073" max="3073" width="22.875" style="2" customWidth="1"/>
    <col min="3074" max="3328" width="9" style="2"/>
    <col min="3329" max="3329" width="22.875" style="2" customWidth="1"/>
    <col min="3330" max="3584" width="9" style="2"/>
    <col min="3585" max="3585" width="22.875" style="2" customWidth="1"/>
    <col min="3586" max="3840" width="9" style="2"/>
    <col min="3841" max="3841" width="22.875" style="2" customWidth="1"/>
    <col min="3842" max="4096" width="9" style="2"/>
    <col min="4097" max="4097" width="22.875" style="2" customWidth="1"/>
    <col min="4098" max="4352" width="9" style="2"/>
    <col min="4353" max="4353" width="22.875" style="2" customWidth="1"/>
    <col min="4354" max="4608" width="9" style="2"/>
    <col min="4609" max="4609" width="22.875" style="2" customWidth="1"/>
    <col min="4610" max="4864" width="9" style="2"/>
    <col min="4865" max="4865" width="22.875" style="2" customWidth="1"/>
    <col min="4866" max="5120" width="9" style="2"/>
    <col min="5121" max="5121" width="22.875" style="2" customWidth="1"/>
    <col min="5122" max="5376" width="9" style="2"/>
    <col min="5377" max="5377" width="22.875" style="2" customWidth="1"/>
    <col min="5378" max="5632" width="9" style="2"/>
    <col min="5633" max="5633" width="22.875" style="2" customWidth="1"/>
    <col min="5634" max="5888" width="9" style="2"/>
    <col min="5889" max="5889" width="22.875" style="2" customWidth="1"/>
    <col min="5890" max="6144" width="9" style="2"/>
    <col min="6145" max="6145" width="22.875" style="2" customWidth="1"/>
    <col min="6146" max="6400" width="9" style="2"/>
    <col min="6401" max="6401" width="22.875" style="2" customWidth="1"/>
    <col min="6402" max="6656" width="9" style="2"/>
    <col min="6657" max="6657" width="22.875" style="2" customWidth="1"/>
    <col min="6658" max="6912" width="9" style="2"/>
    <col min="6913" max="6913" width="22.875" style="2" customWidth="1"/>
    <col min="6914" max="7168" width="9" style="2"/>
    <col min="7169" max="7169" width="22.875" style="2" customWidth="1"/>
    <col min="7170" max="7424" width="9" style="2"/>
    <col min="7425" max="7425" width="22.875" style="2" customWidth="1"/>
    <col min="7426" max="7680" width="9" style="2"/>
    <col min="7681" max="7681" width="22.875" style="2" customWidth="1"/>
    <col min="7682" max="7936" width="9" style="2"/>
    <col min="7937" max="7937" width="22.875" style="2" customWidth="1"/>
    <col min="7938" max="8192" width="9" style="2"/>
    <col min="8193" max="8193" width="22.875" style="2" customWidth="1"/>
    <col min="8194" max="8448" width="9" style="2"/>
    <col min="8449" max="8449" width="22.875" style="2" customWidth="1"/>
    <col min="8450" max="8704" width="9" style="2"/>
    <col min="8705" max="8705" width="22.875" style="2" customWidth="1"/>
    <col min="8706" max="8960" width="9" style="2"/>
    <col min="8961" max="8961" width="22.875" style="2" customWidth="1"/>
    <col min="8962" max="9216" width="9" style="2"/>
    <col min="9217" max="9217" width="22.875" style="2" customWidth="1"/>
    <col min="9218" max="9472" width="9" style="2"/>
    <col min="9473" max="9473" width="22.875" style="2" customWidth="1"/>
    <col min="9474" max="9728" width="9" style="2"/>
    <col min="9729" max="9729" width="22.875" style="2" customWidth="1"/>
    <col min="9730" max="9984" width="9" style="2"/>
    <col min="9985" max="9985" width="22.875" style="2" customWidth="1"/>
    <col min="9986" max="10240" width="9" style="2"/>
    <col min="10241" max="10241" width="22.875" style="2" customWidth="1"/>
    <col min="10242" max="10496" width="9" style="2"/>
    <col min="10497" max="10497" width="22.875" style="2" customWidth="1"/>
    <col min="10498" max="10752" width="9" style="2"/>
    <col min="10753" max="10753" width="22.875" style="2" customWidth="1"/>
    <col min="10754" max="11008" width="9" style="2"/>
    <col min="11009" max="11009" width="22.875" style="2" customWidth="1"/>
    <col min="11010" max="11264" width="9" style="2"/>
    <col min="11265" max="11265" width="22.875" style="2" customWidth="1"/>
    <col min="11266" max="11520" width="9" style="2"/>
    <col min="11521" max="11521" width="22.875" style="2" customWidth="1"/>
    <col min="11522" max="11776" width="9" style="2"/>
    <col min="11777" max="11777" width="22.875" style="2" customWidth="1"/>
    <col min="11778" max="12032" width="9" style="2"/>
    <col min="12033" max="12033" width="22.875" style="2" customWidth="1"/>
    <col min="12034" max="12288" width="9" style="2"/>
    <col min="12289" max="12289" width="22.875" style="2" customWidth="1"/>
    <col min="12290" max="12544" width="9" style="2"/>
    <col min="12545" max="12545" width="22.875" style="2" customWidth="1"/>
    <col min="12546" max="12800" width="9" style="2"/>
    <col min="12801" max="12801" width="22.875" style="2" customWidth="1"/>
    <col min="12802" max="13056" width="9" style="2"/>
    <col min="13057" max="13057" width="22.875" style="2" customWidth="1"/>
    <col min="13058" max="13312" width="9" style="2"/>
    <col min="13313" max="13313" width="22.875" style="2" customWidth="1"/>
    <col min="13314" max="13568" width="9" style="2"/>
    <col min="13569" max="13569" width="22.875" style="2" customWidth="1"/>
    <col min="13570" max="13824" width="9" style="2"/>
    <col min="13825" max="13825" width="22.875" style="2" customWidth="1"/>
    <col min="13826" max="14080" width="9" style="2"/>
    <col min="14081" max="14081" width="22.875" style="2" customWidth="1"/>
    <col min="14082" max="14336" width="9" style="2"/>
    <col min="14337" max="14337" width="22.875" style="2" customWidth="1"/>
    <col min="14338" max="14592" width="9" style="2"/>
    <col min="14593" max="14593" width="22.875" style="2" customWidth="1"/>
    <col min="14594" max="14848" width="9" style="2"/>
    <col min="14849" max="14849" width="22.875" style="2" customWidth="1"/>
    <col min="14850" max="15104" width="9" style="2"/>
    <col min="15105" max="15105" width="22.875" style="2" customWidth="1"/>
    <col min="15106" max="15360" width="9" style="2"/>
    <col min="15361" max="15361" width="22.875" style="2" customWidth="1"/>
    <col min="15362" max="15616" width="9" style="2"/>
    <col min="15617" max="15617" width="22.875" style="2" customWidth="1"/>
    <col min="15618" max="15872" width="9" style="2"/>
    <col min="15873" max="15873" width="22.875" style="2" customWidth="1"/>
    <col min="15874" max="16128" width="9" style="2"/>
    <col min="16129" max="16129" width="22.875" style="2" customWidth="1"/>
    <col min="16130" max="16384" width="9" style="2"/>
  </cols>
  <sheetData>
    <row r="1" spans="1:10" ht="15" customHeight="1">
      <c r="E1" s="38" t="s">
        <v>99</v>
      </c>
    </row>
    <row r="2" spans="1:10" ht="15" customHeight="1">
      <c r="A2" s="39" t="s">
        <v>30</v>
      </c>
    </row>
    <row r="3" spans="1:10" s="42" customFormat="1" ht="15" customHeight="1">
      <c r="A3" s="42" t="s">
        <v>31</v>
      </c>
      <c r="C3" s="42">
        <v>2</v>
      </c>
      <c r="E3" s="46" t="s">
        <v>41</v>
      </c>
      <c r="F3" s="44" t="str">
        <f>IF(C3=1,"底部宽跨式组合","顶部宽跨式组合")</f>
        <v>顶部宽跨式组合</v>
      </c>
    </row>
    <row r="4" spans="1:10" s="42" customFormat="1" ht="15" customHeight="1">
      <c r="A4" s="62" t="str">
        <f>IF(C3=1,"看跌期权多头","看跌期权空头")</f>
        <v>看跌期权空头</v>
      </c>
    </row>
    <row r="5" spans="1:10" s="42" customFormat="1" ht="15" customHeight="1">
      <c r="A5" s="42" t="s">
        <v>34</v>
      </c>
      <c r="B5" s="63">
        <v>2300</v>
      </c>
      <c r="J5" s="53" t="s">
        <v>100</v>
      </c>
    </row>
    <row r="6" spans="1:10" s="42" customFormat="1" ht="15" customHeight="1">
      <c r="A6" s="42" t="s">
        <v>35</v>
      </c>
      <c r="B6" s="63">
        <v>37</v>
      </c>
      <c r="J6" s="53" t="s">
        <v>101</v>
      </c>
    </row>
    <row r="7" spans="1:10" s="42" customFormat="1" ht="15" customHeight="1">
      <c r="A7" s="62" t="str">
        <f>IF(C3=1,"看涨期权多头","看涨期权空头")</f>
        <v>看涨期权空头</v>
      </c>
      <c r="B7" s="50"/>
    </row>
    <row r="8" spans="1:10" s="42" customFormat="1" ht="15" customHeight="1">
      <c r="A8" s="42" t="s">
        <v>34</v>
      </c>
      <c r="B8" s="63">
        <v>2500</v>
      </c>
    </row>
    <row r="9" spans="1:10" s="42" customFormat="1" ht="15" customHeight="1">
      <c r="A9" s="42" t="s">
        <v>35</v>
      </c>
      <c r="B9" s="63">
        <v>130</v>
      </c>
    </row>
    <row r="12" spans="1:10" ht="15" customHeight="1">
      <c r="A12" s="39" t="s">
        <v>102</v>
      </c>
    </row>
    <row r="13" spans="1:10" s="42" customFormat="1" ht="15" customHeight="1">
      <c r="A13" s="42" t="s">
        <v>37</v>
      </c>
      <c r="B13" s="49">
        <f>C13*0.9</f>
        <v>2070</v>
      </c>
      <c r="C13" s="49">
        <f>B5</f>
        <v>2300</v>
      </c>
      <c r="D13" s="49">
        <f>B8</f>
        <v>2500</v>
      </c>
      <c r="E13" s="49">
        <f>D13*1.1</f>
        <v>2750</v>
      </c>
      <c r="F13" s="50">
        <f>B5</f>
        <v>2300</v>
      </c>
      <c r="G13" s="50">
        <f>B5</f>
        <v>2300</v>
      </c>
      <c r="H13" s="50">
        <f>B8</f>
        <v>2500</v>
      </c>
      <c r="I13" s="50">
        <f>B8</f>
        <v>2500</v>
      </c>
    </row>
    <row r="14" spans="1:10" s="42" customFormat="1" ht="15" customHeight="1">
      <c r="A14" s="42" t="s">
        <v>89</v>
      </c>
      <c r="B14" s="49">
        <f>IF($C$3=1,MAX($B$5-B13,0)-$B$6,-MAX($B$5-B13,0)+$B$6)</f>
        <v>-193</v>
      </c>
      <c r="C14" s="49">
        <f>IF($C$3=1,MAX($B$5-C13,0)-$B$6,-MAX($B$5-C13,0)+$B$6)</f>
        <v>37</v>
      </c>
      <c r="D14" s="49">
        <f>IF($C$3=1,MAX($B$5-D13,0)-$B$6,-MAX($B$5-D13,0)+$B$6)</f>
        <v>37</v>
      </c>
      <c r="E14" s="49">
        <f>IF($C$3=1,MAX($B$5-E13,0)-$B$6,-MAX($B$5-E13,0)+$B$6)</f>
        <v>37</v>
      </c>
      <c r="F14" s="59"/>
      <c r="G14" s="59"/>
      <c r="H14" s="59"/>
      <c r="I14" s="50"/>
    </row>
    <row r="15" spans="1:10" s="42" customFormat="1" ht="15" customHeight="1">
      <c r="A15" s="42" t="s">
        <v>88</v>
      </c>
      <c r="B15" s="49">
        <f>IF($C$3=1,MAX(B13-$B$8,0)-$B$9,-MAX(B13-$B$8,0)+$B$9)</f>
        <v>130</v>
      </c>
      <c r="C15" s="49">
        <f>IF($C$3=1,MAX(C13-$B$8,0)-$B$9,-MAX(C13-$B$8,0)+$B$9)</f>
        <v>130</v>
      </c>
      <c r="D15" s="49">
        <f>IF($C$3=1,MAX(D13-$B$8,0)-$B$9,-MAX(D13-$B$8,0)+$B$9)</f>
        <v>130</v>
      </c>
      <c r="E15" s="49">
        <f>IF($C$3=1,MAX(E13-$B$8,0)-$B$9,-MAX(E13-$B$8,0)+$B$9)</f>
        <v>-120</v>
      </c>
      <c r="F15" s="59"/>
      <c r="G15" s="59"/>
      <c r="H15" s="59"/>
      <c r="I15" s="50"/>
    </row>
    <row r="16" spans="1:10" s="42" customFormat="1" ht="15" customHeight="1">
      <c r="A16" s="42" t="s">
        <v>103</v>
      </c>
      <c r="B16" s="49">
        <f>B14+B15</f>
        <v>-63</v>
      </c>
      <c r="C16" s="49">
        <f>C14+C15</f>
        <v>167</v>
      </c>
      <c r="D16" s="49">
        <f>D14+D15</f>
        <v>167</v>
      </c>
      <c r="E16" s="49">
        <f>E14+E15</f>
        <v>-83</v>
      </c>
      <c r="F16" s="59"/>
      <c r="G16" s="59"/>
      <c r="H16" s="59"/>
      <c r="I16" s="50"/>
    </row>
    <row r="17" spans="1:9" s="42" customFormat="1" ht="15" customHeight="1">
      <c r="A17" s="42" t="s">
        <v>53</v>
      </c>
      <c r="B17" s="59"/>
      <c r="C17" s="59"/>
      <c r="D17" s="59"/>
      <c r="E17" s="59"/>
      <c r="F17" s="59">
        <v>50</v>
      </c>
      <c r="G17" s="59">
        <v>-50</v>
      </c>
      <c r="H17" s="59"/>
      <c r="I17" s="50"/>
    </row>
    <row r="18" spans="1:9" s="42" customFormat="1" ht="15" customHeight="1">
      <c r="A18" s="42" t="s">
        <v>54</v>
      </c>
      <c r="B18" s="50"/>
      <c r="C18" s="50"/>
      <c r="D18" s="50"/>
      <c r="E18" s="50"/>
      <c r="F18" s="50"/>
      <c r="G18" s="50"/>
      <c r="H18" s="50">
        <v>50</v>
      </c>
      <c r="I18" s="50">
        <v>-50</v>
      </c>
    </row>
    <row r="19" spans="1:9" s="42" customFormat="1" ht="15" customHeight="1"/>
    <row r="20" spans="1:9" s="42" customFormat="1" ht="15" customHeight="1"/>
  </sheetData>
  <phoneticPr fontId="14" type="noConversion"/>
  <pageMargins left="0.7" right="0.7" top="0.75" bottom="0.75" header="0.3" footer="0.3"/>
  <drawing r:id="rId1"/>
  <legacyDrawing r:id="rId2"/>
  <controls>
    <control shapeId="18433" r:id="rId3" name="CommandButton1"/>
  </control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/>
  <dimension ref="A1:K46"/>
  <sheetViews>
    <sheetView workbookViewId="0">
      <selection activeCell="F40" sqref="F40"/>
    </sheetView>
  </sheetViews>
  <sheetFormatPr defaultRowHeight="13.5"/>
  <cols>
    <col min="1" max="6" width="9" style="2"/>
    <col min="7" max="7" width="2.875" style="2" customWidth="1"/>
    <col min="8" max="8" width="8.875" style="2" customWidth="1"/>
    <col min="9" max="16384" width="9" style="2"/>
  </cols>
  <sheetData>
    <row r="1" spans="1:11">
      <c r="A1" s="86"/>
      <c r="B1" s="87"/>
      <c r="C1" s="87"/>
      <c r="D1" s="87"/>
      <c r="E1" s="97" t="s">
        <v>134</v>
      </c>
      <c r="F1" s="87"/>
      <c r="G1" s="87"/>
      <c r="H1" s="88"/>
      <c r="I1" s="88"/>
    </row>
    <row r="2" spans="1:11" ht="14.25">
      <c r="A2" s="102"/>
      <c r="B2" s="24" t="s">
        <v>8</v>
      </c>
      <c r="C2" s="12">
        <v>2300</v>
      </c>
      <c r="D2" s="20"/>
      <c r="E2" s="89" t="s">
        <v>131</v>
      </c>
      <c r="F2" s="90">
        <f>IF(C2-C3*EXP(-C5*C4)&lt;0,0,C2-C3*EXP(-C5*C4))</f>
        <v>3.6862984156869061E-3</v>
      </c>
      <c r="G2" s="91" t="s">
        <v>132</v>
      </c>
      <c r="H2" s="92">
        <f>C2</f>
        <v>2300</v>
      </c>
      <c r="I2" s="103" t="str">
        <f>IF(OR(C6&gt;H2,C6&lt;F2),"Yes","No")</f>
        <v>No</v>
      </c>
    </row>
    <row r="3" spans="1:11" ht="16.5" thickBot="1">
      <c r="A3" s="102"/>
      <c r="B3" s="24" t="s">
        <v>14</v>
      </c>
      <c r="C3" s="12">
        <v>2300</v>
      </c>
      <c r="D3" s="20"/>
      <c r="E3" s="93" t="s">
        <v>133</v>
      </c>
      <c r="F3" s="94">
        <f>IF(C3*EXP(-C5*C4)-C2&lt;0,0,C3*EXP(-C5*C4)-C2)</f>
        <v>0</v>
      </c>
      <c r="G3" s="95" t="s">
        <v>132</v>
      </c>
      <c r="H3" s="96">
        <f>C3</f>
        <v>2300</v>
      </c>
      <c r="I3" s="103" t="str">
        <f>IF(OR(C7&gt;H3,C7&lt;F3),"Yes","No")</f>
        <v>No</v>
      </c>
    </row>
    <row r="4" spans="1:11" ht="16.5" thickBot="1">
      <c r="A4" s="102"/>
      <c r="B4" s="24" t="s">
        <v>15</v>
      </c>
      <c r="C4" s="14">
        <f>15/365</f>
        <v>4.1095890410958902E-2</v>
      </c>
      <c r="D4" s="20"/>
      <c r="E4" s="20"/>
      <c r="F4" s="20"/>
      <c r="G4" s="20"/>
      <c r="H4" s="20"/>
      <c r="I4" s="103"/>
    </row>
    <row r="5" spans="1:11" ht="15.75">
      <c r="A5" s="102"/>
      <c r="B5" s="24" t="s">
        <v>16</v>
      </c>
      <c r="C5" s="13">
        <v>3.8999999999999999E-5</v>
      </c>
      <c r="D5" s="20"/>
      <c r="E5" s="86" t="s">
        <v>135</v>
      </c>
      <c r="F5" s="87"/>
      <c r="G5" s="87"/>
      <c r="H5" s="88"/>
      <c r="I5" s="103"/>
    </row>
    <row r="6" spans="1:11" ht="14.25" thickBot="1">
      <c r="A6" s="102"/>
      <c r="B6" s="24" t="s">
        <v>4</v>
      </c>
      <c r="C6" s="85">
        <v>37</v>
      </c>
      <c r="D6" s="20"/>
      <c r="E6" s="98">
        <f>C6-C7-C2+C3*EXP(-C5*C4)</f>
        <v>8.9963137015843131</v>
      </c>
      <c r="F6" s="101"/>
      <c r="G6" s="99"/>
      <c r="H6" s="100" t="str">
        <f>IF(OR(E6&gt;0.5,E6&lt;-0.5),"Yes","No")</f>
        <v>Yes</v>
      </c>
      <c r="I6" s="103"/>
    </row>
    <row r="7" spans="1:11">
      <c r="A7" s="102"/>
      <c r="B7" s="24" t="s">
        <v>5</v>
      </c>
      <c r="C7" s="85">
        <v>28</v>
      </c>
      <c r="D7" s="20"/>
      <c r="E7" s="20"/>
      <c r="F7" s="20"/>
      <c r="G7" s="20"/>
      <c r="H7" s="20"/>
      <c r="I7" s="103"/>
    </row>
    <row r="8" spans="1:11">
      <c r="A8" s="104"/>
      <c r="B8" s="20"/>
      <c r="C8" s="20"/>
      <c r="D8" s="20"/>
      <c r="E8" s="20"/>
      <c r="F8" s="20"/>
      <c r="G8" s="20"/>
      <c r="H8" s="20"/>
      <c r="I8" s="103"/>
    </row>
    <row r="9" spans="1:11">
      <c r="A9" s="104"/>
      <c r="B9" s="20"/>
      <c r="C9" s="20"/>
      <c r="D9" s="20"/>
      <c r="E9" s="20"/>
      <c r="F9" s="20"/>
      <c r="G9" s="20"/>
      <c r="H9" s="20"/>
      <c r="I9" s="103"/>
    </row>
    <row r="10" spans="1:11" ht="14.25" thickBot="1">
      <c r="A10" s="105"/>
      <c r="B10" s="99"/>
      <c r="C10" s="99"/>
      <c r="D10" s="99"/>
      <c r="E10" s="99"/>
      <c r="F10" s="99"/>
      <c r="G10" s="99"/>
      <c r="H10" s="118" t="s">
        <v>136</v>
      </c>
      <c r="I10" s="119"/>
    </row>
    <row r="11" spans="1:11" ht="14.25" thickBot="1"/>
    <row r="12" spans="1:11">
      <c r="A12" s="86"/>
      <c r="B12" s="87"/>
      <c r="C12" s="87"/>
      <c r="D12" s="87"/>
      <c r="E12" s="87"/>
      <c r="F12" s="87"/>
      <c r="G12" s="87"/>
      <c r="H12" s="87"/>
      <c r="I12" s="87"/>
      <c r="J12" s="87"/>
      <c r="K12" s="88"/>
    </row>
    <row r="13" spans="1:11">
      <c r="A13" s="104"/>
      <c r="B13" s="20"/>
      <c r="C13" s="20"/>
      <c r="D13" s="20"/>
      <c r="E13" s="20"/>
      <c r="F13" s="20"/>
      <c r="G13" s="20"/>
      <c r="H13" s="20"/>
      <c r="I13" s="20"/>
      <c r="J13" s="20"/>
      <c r="K13" s="103"/>
    </row>
    <row r="14" spans="1:11">
      <c r="A14" s="104"/>
      <c r="B14" s="106" t="s">
        <v>140</v>
      </c>
      <c r="C14" s="12">
        <v>2</v>
      </c>
      <c r="D14" s="20"/>
      <c r="E14" s="20" t="s">
        <v>146</v>
      </c>
      <c r="F14" s="20"/>
      <c r="G14" s="20"/>
      <c r="H14" s="20"/>
      <c r="I14" s="20"/>
      <c r="J14" s="20"/>
      <c r="K14" s="103"/>
    </row>
    <row r="15" spans="1:11" ht="14.25">
      <c r="A15" s="104"/>
      <c r="B15" s="106" t="s">
        <v>139</v>
      </c>
      <c r="C15" s="12">
        <v>5</v>
      </c>
      <c r="D15" s="20"/>
      <c r="E15" s="20" t="s">
        <v>149</v>
      </c>
      <c r="F15" s="20"/>
      <c r="G15" s="20"/>
      <c r="H15" s="90">
        <v>0</v>
      </c>
      <c r="I15" s="91" t="s">
        <v>145</v>
      </c>
      <c r="J15" s="92">
        <f>(C16-C17)*EXP(-C25*C24)</f>
        <v>9.7044553354850809</v>
      </c>
      <c r="K15" s="103" t="str">
        <f>IF(OR(C15-C14&lt;0,C15-C14&gt;J15),"Yes","No")</f>
        <v>No</v>
      </c>
    </row>
    <row r="16" spans="1:11">
      <c r="A16" s="104"/>
      <c r="B16" s="106" t="s">
        <v>142</v>
      </c>
      <c r="C16" s="12">
        <v>35</v>
      </c>
      <c r="D16" s="20"/>
      <c r="E16" s="20" t="s">
        <v>147</v>
      </c>
      <c r="F16" s="20"/>
      <c r="G16" s="20"/>
      <c r="H16" s="20"/>
      <c r="I16" s="20"/>
      <c r="J16" s="20"/>
      <c r="K16" s="103"/>
    </row>
    <row r="17" spans="1:11" ht="14.25">
      <c r="A17" s="104"/>
      <c r="B17" s="106" t="s">
        <v>141</v>
      </c>
      <c r="C17" s="12">
        <v>25</v>
      </c>
      <c r="D17" s="20"/>
      <c r="E17" s="20" t="s">
        <v>148</v>
      </c>
      <c r="F17" s="20"/>
      <c r="G17" s="20"/>
      <c r="H17" s="90">
        <v>0</v>
      </c>
      <c r="I17" s="91" t="s">
        <v>145</v>
      </c>
      <c r="J17" s="92">
        <f>(C22-C21)*EXP(-C25*C24)</f>
        <v>9.7044553354850809</v>
      </c>
      <c r="K17" s="103" t="str">
        <f>IF(OR(C20-C19&lt;0,C20-C19&gt;J17),"Yes","No")</f>
        <v>No</v>
      </c>
    </row>
    <row r="18" spans="1:11">
      <c r="A18" s="104"/>
      <c r="B18" s="20"/>
      <c r="C18" s="20"/>
      <c r="D18" s="20"/>
      <c r="E18" s="20"/>
      <c r="F18" s="20"/>
      <c r="G18" s="20"/>
      <c r="H18" s="20"/>
      <c r="I18" s="20"/>
      <c r="J18" s="20"/>
      <c r="K18" s="103"/>
    </row>
    <row r="19" spans="1:11">
      <c r="A19" s="104"/>
      <c r="B19" s="106" t="s">
        <v>143</v>
      </c>
      <c r="C19" s="12">
        <v>6</v>
      </c>
      <c r="D19" s="20"/>
      <c r="E19" s="20"/>
      <c r="F19" s="20"/>
      <c r="G19" s="20"/>
      <c r="H19" s="20"/>
      <c r="I19" s="20"/>
      <c r="J19" s="20"/>
      <c r="K19" s="103"/>
    </row>
    <row r="20" spans="1:11">
      <c r="A20" s="104"/>
      <c r="B20" s="106" t="s">
        <v>144</v>
      </c>
      <c r="C20" s="12">
        <v>8</v>
      </c>
      <c r="D20" s="20"/>
      <c r="E20" s="20"/>
      <c r="F20" s="20"/>
      <c r="G20" s="20"/>
      <c r="H20" s="20"/>
      <c r="I20" s="20"/>
      <c r="J20" s="20"/>
      <c r="K20" s="103"/>
    </row>
    <row r="21" spans="1:11">
      <c r="A21" s="104"/>
      <c r="B21" s="106" t="s">
        <v>141</v>
      </c>
      <c r="C21" s="12">
        <v>25</v>
      </c>
      <c r="D21" s="20"/>
      <c r="E21" s="20"/>
      <c r="F21" s="20"/>
      <c r="G21" s="20"/>
      <c r="H21" s="20"/>
      <c r="I21" s="20"/>
      <c r="J21" s="20"/>
      <c r="K21" s="103"/>
    </row>
    <row r="22" spans="1:11">
      <c r="A22" s="104"/>
      <c r="B22" s="106" t="s">
        <v>142</v>
      </c>
      <c r="C22" s="12">
        <v>35</v>
      </c>
      <c r="D22" s="20"/>
      <c r="E22" s="20"/>
      <c r="F22" s="20"/>
      <c r="G22" s="20"/>
      <c r="H22" s="20"/>
      <c r="I22" s="20"/>
      <c r="J22" s="20"/>
      <c r="K22" s="103"/>
    </row>
    <row r="23" spans="1:11">
      <c r="A23" s="104"/>
      <c r="B23" s="20"/>
      <c r="C23" s="20"/>
      <c r="D23" s="20"/>
      <c r="E23" s="20"/>
      <c r="F23" s="20"/>
      <c r="G23" s="20"/>
      <c r="H23" s="20"/>
      <c r="I23" s="20"/>
      <c r="J23" s="20"/>
      <c r="K23" s="103"/>
    </row>
    <row r="24" spans="1:11" ht="15.75">
      <c r="A24" s="102"/>
      <c r="B24" s="24" t="s">
        <v>15</v>
      </c>
      <c r="C24" s="14">
        <v>1</v>
      </c>
      <c r="D24" s="20"/>
      <c r="E24" s="20"/>
      <c r="F24" s="20"/>
      <c r="G24" s="20"/>
      <c r="H24" s="20"/>
      <c r="I24" s="20"/>
      <c r="J24" s="20"/>
      <c r="K24" s="103"/>
    </row>
    <row r="25" spans="1:11" ht="15.75">
      <c r="A25" s="102"/>
      <c r="B25" s="24" t="s">
        <v>16</v>
      </c>
      <c r="C25" s="13">
        <v>0.03</v>
      </c>
      <c r="D25" s="20"/>
      <c r="E25" s="20"/>
      <c r="F25" s="20"/>
      <c r="G25" s="20"/>
      <c r="H25" s="20"/>
      <c r="I25" s="20"/>
      <c r="J25" s="20"/>
      <c r="K25" s="103"/>
    </row>
    <row r="26" spans="1:11">
      <c r="A26" s="104"/>
      <c r="B26" s="20"/>
      <c r="C26" s="20"/>
      <c r="D26" s="20"/>
      <c r="E26" s="20"/>
      <c r="F26" s="20"/>
      <c r="G26" s="20"/>
      <c r="H26" s="20"/>
      <c r="I26" s="20"/>
      <c r="J26" s="20"/>
      <c r="K26" s="103"/>
    </row>
    <row r="27" spans="1:11" ht="14.25" thickBot="1">
      <c r="A27" s="105"/>
      <c r="B27" s="99"/>
      <c r="C27" s="99"/>
      <c r="D27" s="99"/>
      <c r="E27" s="99"/>
      <c r="F27" s="99"/>
      <c r="G27" s="99"/>
      <c r="H27" s="99"/>
      <c r="I27" s="99"/>
      <c r="J27" s="118" t="s">
        <v>150</v>
      </c>
      <c r="K27" s="119"/>
    </row>
    <row r="28" spans="1:11" ht="14.25" thickBot="1"/>
    <row r="29" spans="1:11">
      <c r="A29" s="86"/>
      <c r="B29" s="87" t="s">
        <v>151</v>
      </c>
      <c r="C29" s="87"/>
      <c r="D29" s="87" t="s">
        <v>152</v>
      </c>
      <c r="E29" s="87"/>
      <c r="F29" s="87"/>
      <c r="G29" s="87"/>
      <c r="H29" s="87"/>
      <c r="I29" s="87"/>
      <c r="J29" s="87"/>
      <c r="K29" s="88"/>
    </row>
    <row r="30" spans="1:11">
      <c r="A30" s="104"/>
      <c r="B30" s="20"/>
      <c r="C30" s="20"/>
      <c r="D30" s="20"/>
      <c r="E30" s="20"/>
      <c r="F30" s="20"/>
      <c r="G30" s="20"/>
      <c r="H30" s="20"/>
      <c r="I30" s="20"/>
      <c r="J30" s="20"/>
      <c r="K30" s="103"/>
    </row>
    <row r="31" spans="1:11">
      <c r="A31" s="104"/>
      <c r="B31" s="106" t="s">
        <v>153</v>
      </c>
      <c r="C31" s="107">
        <v>15</v>
      </c>
      <c r="D31" s="20"/>
      <c r="E31" s="20">
        <f>(C35-C36)/(C32-C31)</f>
        <v>0.7</v>
      </c>
      <c r="F31" s="20">
        <f>(C36-C37)/(C33-C32)</f>
        <v>0.2</v>
      </c>
      <c r="G31" s="20"/>
      <c r="H31" s="20" t="str">
        <f>IF(E31&gt;F31,"No","Yes")</f>
        <v>No</v>
      </c>
      <c r="I31" s="20"/>
      <c r="J31" s="20"/>
      <c r="K31" s="103"/>
    </row>
    <row r="32" spans="1:11">
      <c r="A32" s="104"/>
      <c r="B32" s="106" t="s">
        <v>154</v>
      </c>
      <c r="C32" s="107">
        <v>25</v>
      </c>
      <c r="D32" s="20"/>
      <c r="E32" s="20"/>
      <c r="F32" s="20"/>
      <c r="G32" s="20"/>
      <c r="H32" s="20"/>
      <c r="I32" s="20"/>
      <c r="J32" s="20"/>
      <c r="K32" s="103"/>
    </row>
    <row r="33" spans="1:11">
      <c r="A33" s="104"/>
      <c r="B33" s="106" t="s">
        <v>155</v>
      </c>
      <c r="C33" s="107">
        <v>35</v>
      </c>
      <c r="D33" s="20"/>
      <c r="E33" s="20"/>
      <c r="F33" s="20"/>
      <c r="G33" s="20"/>
      <c r="H33" s="20"/>
      <c r="I33" s="20"/>
      <c r="J33" s="20"/>
      <c r="K33" s="103"/>
    </row>
    <row r="34" spans="1:11">
      <c r="A34" s="104"/>
      <c r="B34" s="106"/>
      <c r="C34" s="20"/>
      <c r="D34" s="20"/>
      <c r="E34" s="20"/>
      <c r="F34" s="20"/>
      <c r="G34" s="20"/>
      <c r="H34" s="20"/>
      <c r="I34" s="20"/>
      <c r="J34" s="20"/>
      <c r="K34" s="103"/>
    </row>
    <row r="35" spans="1:11">
      <c r="A35" s="104"/>
      <c r="B35" s="106" t="s">
        <v>137</v>
      </c>
      <c r="C35" s="107">
        <v>15</v>
      </c>
      <c r="D35" s="20"/>
      <c r="E35" s="20"/>
      <c r="F35" s="20"/>
      <c r="G35" s="20"/>
      <c r="H35" s="20"/>
      <c r="I35" s="20"/>
      <c r="J35" s="20"/>
      <c r="K35" s="103"/>
    </row>
    <row r="36" spans="1:11">
      <c r="A36" s="104"/>
      <c r="B36" s="106" t="s">
        <v>138</v>
      </c>
      <c r="C36" s="107">
        <v>8</v>
      </c>
      <c r="D36" s="20"/>
      <c r="E36" s="20"/>
      <c r="F36" s="20"/>
      <c r="G36" s="20"/>
      <c r="H36" s="20"/>
      <c r="I36" s="20"/>
      <c r="J36" s="20"/>
      <c r="K36" s="103"/>
    </row>
    <row r="37" spans="1:11" ht="14.25" thickBot="1">
      <c r="A37" s="111"/>
      <c r="B37" s="109" t="s">
        <v>156</v>
      </c>
      <c r="C37" s="110">
        <v>6</v>
      </c>
      <c r="D37" s="108"/>
      <c r="E37" s="108"/>
      <c r="F37" s="108"/>
      <c r="G37" s="108"/>
      <c r="H37" s="108"/>
      <c r="I37" s="108"/>
      <c r="J37" s="108"/>
      <c r="K37" s="112"/>
    </row>
    <row r="38" spans="1:11">
      <c r="A38" s="104"/>
      <c r="B38" s="87" t="s">
        <v>151</v>
      </c>
      <c r="C38" s="87"/>
      <c r="D38" s="87" t="s">
        <v>157</v>
      </c>
      <c r="E38" s="20"/>
      <c r="F38" s="20"/>
      <c r="G38" s="20"/>
      <c r="H38" s="20"/>
      <c r="I38" s="20"/>
      <c r="J38" s="20"/>
      <c r="K38" s="103"/>
    </row>
    <row r="39" spans="1:11">
      <c r="A39" s="104"/>
      <c r="B39" s="106"/>
      <c r="C39" s="20"/>
      <c r="D39" s="20"/>
      <c r="E39" s="20"/>
      <c r="F39" s="20"/>
      <c r="G39" s="20"/>
      <c r="H39" s="20"/>
      <c r="I39" s="20"/>
      <c r="J39" s="20"/>
      <c r="K39" s="103"/>
    </row>
    <row r="40" spans="1:11">
      <c r="A40" s="104"/>
      <c r="B40" s="106" t="s">
        <v>153</v>
      </c>
      <c r="C40" s="107">
        <v>15</v>
      </c>
      <c r="D40" s="20"/>
      <c r="E40" s="20">
        <f>(C45-C44)/(C41-C40)</f>
        <v>0.2</v>
      </c>
      <c r="F40" s="20">
        <f>(C46-C45)/(C42-C41)</f>
        <v>0.7</v>
      </c>
      <c r="G40" s="20"/>
      <c r="H40" s="20" t="str">
        <f>IF(E40&lt;F40,"No","Yes")</f>
        <v>No</v>
      </c>
      <c r="I40" s="20"/>
      <c r="J40" s="20"/>
      <c r="K40" s="103"/>
    </row>
    <row r="41" spans="1:11">
      <c r="A41" s="104"/>
      <c r="B41" s="106" t="s">
        <v>154</v>
      </c>
      <c r="C41" s="107">
        <v>25</v>
      </c>
      <c r="D41" s="20"/>
      <c r="G41" s="20"/>
      <c r="H41" s="20"/>
      <c r="I41" s="20"/>
      <c r="J41" s="20"/>
      <c r="K41" s="103"/>
    </row>
    <row r="42" spans="1:11">
      <c r="A42" s="104"/>
      <c r="B42" s="106" t="s">
        <v>155</v>
      </c>
      <c r="C42" s="107">
        <v>35</v>
      </c>
      <c r="D42" s="20"/>
      <c r="E42" s="20"/>
      <c r="F42" s="20"/>
      <c r="G42" s="20"/>
      <c r="H42" s="20"/>
      <c r="I42" s="20"/>
      <c r="J42" s="20"/>
      <c r="K42" s="103"/>
    </row>
    <row r="43" spans="1:11">
      <c r="A43" s="104"/>
      <c r="B43" s="106"/>
      <c r="C43" s="20"/>
      <c r="D43" s="20"/>
      <c r="E43" s="20"/>
      <c r="F43" s="20"/>
      <c r="G43" s="20"/>
      <c r="H43" s="20"/>
      <c r="I43" s="20"/>
      <c r="J43" s="20"/>
      <c r="K43" s="103"/>
    </row>
    <row r="44" spans="1:11">
      <c r="A44" s="104"/>
      <c r="B44" s="106" t="s">
        <v>158</v>
      </c>
      <c r="C44" s="107">
        <v>6</v>
      </c>
      <c r="D44" s="20"/>
      <c r="E44" s="20"/>
      <c r="F44" s="20"/>
      <c r="G44" s="20"/>
      <c r="H44" s="20"/>
      <c r="I44" s="20"/>
      <c r="J44" s="20"/>
      <c r="K44" s="103"/>
    </row>
    <row r="45" spans="1:11">
      <c r="A45" s="104"/>
      <c r="B45" s="106" t="s">
        <v>159</v>
      </c>
      <c r="C45" s="107">
        <v>8</v>
      </c>
      <c r="D45" s="20"/>
      <c r="E45" s="20"/>
      <c r="F45" s="20"/>
      <c r="G45" s="20"/>
      <c r="H45" s="20"/>
      <c r="I45" s="20"/>
      <c r="J45" s="20"/>
      <c r="K45" s="103"/>
    </row>
    <row r="46" spans="1:11" ht="14.25" thickBot="1">
      <c r="A46" s="105"/>
      <c r="B46" s="109" t="s">
        <v>160</v>
      </c>
      <c r="C46" s="110">
        <v>15</v>
      </c>
      <c r="D46" s="99"/>
      <c r="E46" s="99"/>
      <c r="F46" s="99"/>
      <c r="G46" s="99"/>
      <c r="H46" s="99"/>
      <c r="I46" s="99"/>
      <c r="J46" s="118" t="s">
        <v>161</v>
      </c>
      <c r="K46" s="119"/>
    </row>
  </sheetData>
  <protectedRanges>
    <protectedRange sqref="C2:C5 C14:C17 C19:C22 C24:C25 C31:C33 C35:C37 C40:C42 C44:C46" name="区域1_1"/>
  </protectedRanges>
  <mergeCells count="3">
    <mergeCell ref="H10:I10"/>
    <mergeCell ref="J27:K27"/>
    <mergeCell ref="J46:K46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目录</vt:lpstr>
      <vt:lpstr>欧式定价</vt:lpstr>
      <vt:lpstr>隐含波动率</vt:lpstr>
      <vt:lpstr>股票期权与股票等比率组合</vt:lpstr>
      <vt:lpstr>差价组合(bull&amp;bear spreads)</vt:lpstr>
      <vt:lpstr>蝶式差价组合(butterfly spreads)</vt:lpstr>
      <vt:lpstr>差期组合(calendar spreads)</vt:lpstr>
      <vt:lpstr>跨式组合(straddle)</vt:lpstr>
      <vt:lpstr>条式组合(strips)</vt:lpstr>
      <vt:lpstr>带式组合(straps)</vt:lpstr>
      <vt:lpstr>宽跨式组合(strangles)</vt:lpstr>
      <vt:lpstr>期权套利模块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2017-01-14T14:08:33Z</dcterms:modified>
</cp:coreProperties>
</file>